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hats\Pictures\"/>
    </mc:Choice>
  </mc:AlternateContent>
  <bookViews>
    <workbookView xWindow="0" yWindow="0" windowWidth="38400" windowHeight="12300"/>
  </bookViews>
  <sheets>
    <sheet name="Battery% at End of Trip" sheetId="2" r:id="rId1"/>
    <sheet name="Mountain PE" sheetId="1" r:id="rId2"/>
    <sheet name="Prime Gas Cost Savings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2" l="1"/>
  <c r="K2" i="3"/>
  <c r="L2" i="3"/>
  <c r="M2" i="3"/>
  <c r="N2" i="3"/>
  <c r="G3" i="3"/>
  <c r="K3" i="3" s="1"/>
  <c r="M3" i="3" s="1"/>
  <c r="L3" i="3"/>
  <c r="N3" i="3" s="1"/>
  <c r="K4" i="3"/>
  <c r="L4" i="3"/>
  <c r="N4" i="3" s="1"/>
  <c r="M4" i="3"/>
  <c r="D5" i="3"/>
  <c r="G5" i="3"/>
  <c r="G6" i="3" s="1"/>
  <c r="G7" i="3" s="1"/>
  <c r="K5" i="3"/>
  <c r="M5" i="3" s="1"/>
  <c r="L5" i="3"/>
  <c r="N5" i="3"/>
  <c r="D6" i="3"/>
  <c r="D7" i="3" s="1"/>
  <c r="K6" i="3"/>
  <c r="L6" i="3"/>
  <c r="N6" i="3" s="1"/>
  <c r="M6" i="3"/>
  <c r="K7" i="3"/>
  <c r="M7" i="3" s="1"/>
  <c r="L7" i="3"/>
  <c r="N7" i="3"/>
  <c r="K8" i="3"/>
  <c r="M8" i="3" s="1"/>
  <c r="L8" i="3"/>
  <c r="N8" i="3"/>
  <c r="K9" i="3"/>
  <c r="M9" i="3" s="1"/>
  <c r="L9" i="3"/>
  <c r="N9" i="3"/>
  <c r="K10" i="3"/>
  <c r="M10" i="3" s="1"/>
  <c r="L10" i="3"/>
  <c r="N10" i="3" s="1"/>
  <c r="K11" i="3"/>
  <c r="M11" i="3" s="1"/>
  <c r="L11" i="3"/>
  <c r="N11" i="3"/>
  <c r="K12" i="3"/>
  <c r="M12" i="3" s="1"/>
  <c r="L12" i="3"/>
  <c r="N12" i="3" s="1"/>
  <c r="K13" i="3"/>
  <c r="M13" i="3" s="1"/>
  <c r="L13" i="3"/>
  <c r="N13" i="3"/>
  <c r="K14" i="3"/>
  <c r="M14" i="3" s="1"/>
  <c r="L14" i="3"/>
  <c r="N14" i="3" s="1"/>
  <c r="K15" i="3"/>
  <c r="M15" i="3" s="1"/>
  <c r="L15" i="3"/>
  <c r="N15" i="3"/>
  <c r="K16" i="3"/>
  <c r="M16" i="3" s="1"/>
  <c r="L16" i="3"/>
  <c r="N16" i="3" s="1"/>
  <c r="K17" i="3"/>
  <c r="M17" i="3" s="1"/>
  <c r="L17" i="3"/>
  <c r="N17" i="3"/>
  <c r="K18" i="3"/>
  <c r="M18" i="3" s="1"/>
  <c r="L18" i="3"/>
  <c r="N18" i="3" s="1"/>
  <c r="K19" i="3"/>
  <c r="M19" i="3" s="1"/>
  <c r="L19" i="3"/>
  <c r="N19" i="3"/>
  <c r="K20" i="3"/>
  <c r="M20" i="3" s="1"/>
  <c r="L20" i="3"/>
  <c r="N20" i="3" s="1"/>
  <c r="K21" i="3"/>
  <c r="M21" i="3" s="1"/>
  <c r="L21" i="3"/>
  <c r="N21" i="3"/>
  <c r="K22" i="3"/>
  <c r="M22" i="3" s="1"/>
  <c r="L22" i="3"/>
  <c r="N22" i="3" s="1"/>
  <c r="K23" i="3"/>
  <c r="M23" i="3" s="1"/>
  <c r="L23" i="3"/>
  <c r="N23" i="3"/>
  <c r="K24" i="3"/>
  <c r="M24" i="3" s="1"/>
  <c r="L24" i="3"/>
  <c r="N24" i="3" s="1"/>
  <c r="K25" i="3"/>
  <c r="M25" i="3" s="1"/>
  <c r="L25" i="3"/>
  <c r="N25" i="3"/>
  <c r="K26" i="3"/>
  <c r="M26" i="3" s="1"/>
  <c r="L26" i="3"/>
  <c r="N26" i="3" s="1"/>
  <c r="K27" i="3"/>
  <c r="M27" i="3" s="1"/>
  <c r="L27" i="3"/>
  <c r="N27" i="3"/>
  <c r="K28" i="3"/>
  <c r="M28" i="3" s="1"/>
  <c r="L28" i="3"/>
  <c r="N28" i="3" s="1"/>
  <c r="K29" i="3"/>
  <c r="M29" i="3" s="1"/>
  <c r="L29" i="3"/>
  <c r="N29" i="3"/>
  <c r="K30" i="3"/>
  <c r="M30" i="3" s="1"/>
  <c r="L30" i="3"/>
  <c r="N30" i="3" s="1"/>
  <c r="K31" i="3"/>
  <c r="M31" i="3" s="1"/>
  <c r="L31" i="3"/>
  <c r="N31" i="3"/>
  <c r="K32" i="3"/>
  <c r="M32" i="3" s="1"/>
  <c r="L32" i="3"/>
  <c r="N32" i="3"/>
  <c r="K33" i="3"/>
  <c r="M33" i="3" s="1"/>
  <c r="L33" i="3"/>
  <c r="N33" i="3"/>
  <c r="K34" i="3"/>
  <c r="M34" i="3" s="1"/>
  <c r="L34" i="3"/>
  <c r="N34" i="3" s="1"/>
  <c r="K35" i="3"/>
  <c r="M35" i="3" s="1"/>
  <c r="L35" i="3"/>
  <c r="N35" i="3" s="1"/>
  <c r="K36" i="3"/>
  <c r="M36" i="3" s="1"/>
  <c r="L36" i="3"/>
  <c r="N36" i="3"/>
  <c r="K37" i="3"/>
  <c r="M37" i="3" s="1"/>
  <c r="L37" i="3"/>
  <c r="N37" i="3"/>
  <c r="K38" i="3"/>
  <c r="M38" i="3" s="1"/>
  <c r="L38" i="3"/>
  <c r="N38" i="3"/>
  <c r="K39" i="3"/>
  <c r="M39" i="3" s="1"/>
  <c r="L39" i="3"/>
  <c r="N39" i="3"/>
  <c r="K40" i="3"/>
  <c r="M40" i="3" s="1"/>
  <c r="L40" i="3"/>
  <c r="N40" i="3" s="1"/>
  <c r="K41" i="3"/>
  <c r="M41" i="3" s="1"/>
  <c r="L41" i="3"/>
  <c r="N41" i="3"/>
  <c r="K42" i="3"/>
  <c r="M42" i="3" s="1"/>
  <c r="L42" i="3"/>
  <c r="N42" i="3" s="1"/>
  <c r="K43" i="3"/>
  <c r="M43" i="3" s="1"/>
  <c r="L43" i="3"/>
  <c r="N43" i="3"/>
  <c r="K44" i="3"/>
  <c r="M44" i="3" s="1"/>
  <c r="L44" i="3"/>
  <c r="N44" i="3" s="1"/>
  <c r="K45" i="3"/>
  <c r="M45" i="3" s="1"/>
  <c r="L45" i="3"/>
  <c r="N45" i="3" s="1"/>
  <c r="K46" i="3"/>
  <c r="M46" i="3" s="1"/>
  <c r="L46" i="3"/>
  <c r="N46" i="3" s="1"/>
  <c r="K47" i="3"/>
  <c r="M47" i="3" s="1"/>
  <c r="L47" i="3"/>
  <c r="N47" i="3" s="1"/>
  <c r="K48" i="3"/>
  <c r="M48" i="3" s="1"/>
  <c r="L48" i="3"/>
  <c r="N48" i="3" s="1"/>
  <c r="K49" i="3"/>
  <c r="M49" i="3" s="1"/>
  <c r="L49" i="3"/>
  <c r="N49" i="3" s="1"/>
  <c r="K50" i="3"/>
  <c r="M50" i="3" s="1"/>
  <c r="L50" i="3"/>
  <c r="N50" i="3" s="1"/>
  <c r="K51" i="3"/>
  <c r="M51" i="3" s="1"/>
  <c r="L51" i="3"/>
  <c r="N51" i="3" s="1"/>
  <c r="K52" i="3"/>
  <c r="M52" i="3" s="1"/>
  <c r="L52" i="3"/>
  <c r="N52" i="3" s="1"/>
  <c r="K53" i="3"/>
  <c r="M53" i="3" s="1"/>
  <c r="L53" i="3"/>
  <c r="N53" i="3" s="1"/>
  <c r="K54" i="3"/>
  <c r="M54" i="3" s="1"/>
  <c r="L54" i="3"/>
  <c r="N54" i="3"/>
  <c r="B21" i="2" l="1"/>
  <c r="B8" i="2"/>
  <c r="B11" i="2"/>
  <c r="B6" i="2"/>
  <c r="B15" i="2" l="1"/>
  <c r="B16" i="2" s="1"/>
  <c r="B19" i="2" s="1"/>
  <c r="B30" i="2"/>
  <c r="B31" i="2" s="1"/>
  <c r="B32" i="2" s="1"/>
  <c r="F14" i="2" s="1"/>
  <c r="A4" i="1"/>
  <c r="D8" i="1"/>
  <c r="D9" i="1"/>
  <c r="D7" i="1"/>
  <c r="D3" i="1"/>
  <c r="D2" i="1"/>
  <c r="B35" i="2" l="1"/>
  <c r="F16" i="2" s="1"/>
  <c r="B33" i="2"/>
  <c r="D4" i="1"/>
  <c r="D10" i="1"/>
  <c r="B22" i="2" l="1"/>
  <c r="F10" i="2"/>
  <c r="F17" i="2"/>
  <c r="F19" i="2" s="1"/>
  <c r="D13" i="1"/>
  <c r="D14" i="1" s="1"/>
  <c r="D17" i="1" s="1"/>
  <c r="F11" i="2" l="1"/>
  <c r="F15" i="2"/>
  <c r="B23" i="2"/>
  <c r="B36" i="2" s="1"/>
  <c r="F13" i="2"/>
  <c r="D21" i="1"/>
  <c r="D20" i="1"/>
</calcChain>
</file>

<file path=xl/comments1.xml><?xml version="1.0" encoding="utf-8"?>
<comments xmlns="http://schemas.openxmlformats.org/spreadsheetml/2006/main">
  <authors>
    <author>Galaxy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Galaxy:</t>
        </r>
        <r>
          <rPr>
            <sz val="9"/>
            <color indexed="81"/>
            <rFont val="Tahoma"/>
            <family val="2"/>
          </rPr>
          <t xml:space="preserve">
EV guesstimate ~ 3%?</t>
        </r>
      </text>
    </comment>
  </commentList>
</comments>
</file>

<file path=xl/sharedStrings.xml><?xml version="1.0" encoding="utf-8"?>
<sst xmlns="http://schemas.openxmlformats.org/spreadsheetml/2006/main" count="156" uniqueCount="110">
  <si>
    <t>end</t>
  </si>
  <si>
    <t>start</t>
  </si>
  <si>
    <t>m</t>
  </si>
  <si>
    <t>ft</t>
  </si>
  <si>
    <t>weight</t>
  </si>
  <si>
    <t>lb</t>
  </si>
  <si>
    <t>kg</t>
  </si>
  <si>
    <t>Total Weight</t>
  </si>
  <si>
    <t>elevation diff</t>
  </si>
  <si>
    <t>m/s2</t>
  </si>
  <si>
    <t>g</t>
  </si>
  <si>
    <t>kWh</t>
  </si>
  <si>
    <t>Regeneration efficiency</t>
  </si>
  <si>
    <t>Luggage Weight</t>
  </si>
  <si>
    <t>Units</t>
  </si>
  <si>
    <t>Total Potential Energy</t>
  </si>
  <si>
    <t>Start Elevation</t>
  </si>
  <si>
    <t>End Elevation</t>
  </si>
  <si>
    <t>Elevation Difference</t>
  </si>
  <si>
    <t>Joules</t>
  </si>
  <si>
    <t>kJ</t>
  </si>
  <si>
    <t xml:space="preserve">Conversion kJ to Wh </t>
  </si>
  <si>
    <t>Conversion J to kJ PE</t>
  </si>
  <si>
    <t>Total Potential Energy (PE)</t>
  </si>
  <si>
    <t>Passenger(s) Weight</t>
  </si>
  <si>
    <t xml:space="preserve">Luggage weight </t>
  </si>
  <si>
    <t>Passengr Weight</t>
  </si>
  <si>
    <t>Wh/kJ</t>
  </si>
  <si>
    <t>Energy Regenerated to Batteries</t>
  </si>
  <si>
    <t>Potential Energy = m*g*h  (kg m2/s2)</t>
  </si>
  <si>
    <t>Conditions</t>
  </si>
  <si>
    <t>Energy Loss</t>
  </si>
  <si>
    <t>max batt</t>
  </si>
  <si>
    <t>mph</t>
  </si>
  <si>
    <t>m/s</t>
  </si>
  <si>
    <t>J</t>
  </si>
  <si>
    <t>% Battery Use</t>
  </si>
  <si>
    <t>C_D</t>
  </si>
  <si>
    <t xml:space="preserve">p - Air Density </t>
  </si>
  <si>
    <t>kg/m3</t>
  </si>
  <si>
    <t>Car Width</t>
  </si>
  <si>
    <t>Car Height</t>
  </si>
  <si>
    <t>Force</t>
  </si>
  <si>
    <t>N</t>
  </si>
  <si>
    <t>Distance driven</t>
  </si>
  <si>
    <t>miles</t>
  </si>
  <si>
    <t>km/mile</t>
  </si>
  <si>
    <t>Conversion Miles to km</t>
  </si>
  <si>
    <t>Energy loss to Air Resistance</t>
  </si>
  <si>
    <t xml:space="preserve">Energy loss in kWh </t>
  </si>
  <si>
    <t>Total Battery Energy</t>
  </si>
  <si>
    <t>Kinetic Energy Losses</t>
  </si>
  <si>
    <t>Driving Velocity</t>
  </si>
  <si>
    <t>Total Energy Loss</t>
  </si>
  <si>
    <t>TL</t>
  </si>
  <si>
    <t>Moving Parts Loss</t>
  </si>
  <si>
    <t>L</t>
  </si>
  <si>
    <t>Total Energy Losses</t>
  </si>
  <si>
    <t>Vehicle Weight</t>
  </si>
  <si>
    <t>5%-15%</t>
  </si>
  <si>
    <t>Avg Friction Energy Loss</t>
  </si>
  <si>
    <t>Friction Losses = Tires + Moving Parts</t>
  </si>
  <si>
    <t>Total % Battery Usage from Trip</t>
  </si>
  <si>
    <t>KE Regenerative Brake Recovery</t>
  </si>
  <si>
    <t>Actual Kinetic Energy Losses</t>
  </si>
  <si>
    <t>Actual % Losses</t>
  </si>
  <si>
    <t>Calculating Total Energy Losses</t>
  </si>
  <si>
    <t>KE + AR Energy Losses</t>
  </si>
  <si>
    <t>F</t>
  </si>
  <si>
    <t xml:space="preserve">TL = .15TL + L </t>
  </si>
  <si>
    <t>TL = 1.15L</t>
  </si>
  <si>
    <t>TL =         F + L</t>
  </si>
  <si>
    <t xml:space="preserve"> F  = .15TL</t>
  </si>
  <si>
    <r>
      <rPr>
        <b/>
        <sz val="11"/>
        <color theme="1"/>
        <rFont val="Calibri"/>
        <family val="2"/>
        <scheme val="minor"/>
      </rPr>
      <t xml:space="preserve">(AR)     </t>
    </r>
    <r>
      <rPr>
        <sz val="11"/>
        <color theme="1"/>
        <rFont val="Calibri"/>
        <family val="2"/>
        <scheme val="minor"/>
      </rPr>
      <t>F = (p*C_D*A/2)*v^2</t>
    </r>
  </si>
  <si>
    <r>
      <rPr>
        <b/>
        <sz val="11"/>
        <color theme="1"/>
        <rFont val="Calibri"/>
        <family val="2"/>
        <scheme val="minor"/>
      </rPr>
      <t xml:space="preserve">(KE)     </t>
    </r>
    <r>
      <rPr>
        <sz val="11"/>
        <color theme="1"/>
        <rFont val="Calibri"/>
        <family val="2"/>
        <scheme val="minor"/>
      </rPr>
      <t>Kinetic Energy = 1/2 mv^2</t>
    </r>
  </si>
  <si>
    <r>
      <t xml:space="preserve">Energy loss from </t>
    </r>
    <r>
      <rPr>
        <b/>
        <sz val="11"/>
        <color theme="1"/>
        <rFont val="Calibri"/>
        <family val="2"/>
        <scheme val="minor"/>
      </rPr>
      <t>KE + AR</t>
    </r>
  </si>
  <si>
    <r>
      <t xml:space="preserve">Total % Batt loss to </t>
    </r>
    <r>
      <rPr>
        <b/>
        <sz val="11"/>
        <color theme="1"/>
        <rFont val="Calibri"/>
        <family val="2"/>
        <scheme val="minor"/>
      </rPr>
      <t>KE + AR</t>
    </r>
  </si>
  <si>
    <t>% Battery at End of Trip</t>
  </si>
  <si>
    <t>L = .15TL</t>
  </si>
  <si>
    <t>Tire Losses from total energy output</t>
  </si>
  <si>
    <t>Avg Friction loss from total energy output</t>
  </si>
  <si>
    <t>Avg loss of moving parts per wiki ICE</t>
  </si>
  <si>
    <t>Input</t>
  </si>
  <si>
    <t>Conversion MPH to m/s</t>
  </si>
  <si>
    <t>% Batt Loss from AR + KE</t>
  </si>
  <si>
    <t>Air Resistance Loss</t>
  </si>
  <si>
    <t>Kinetic Energy Regeneration Losses</t>
  </si>
  <si>
    <t>Moving Part Losses</t>
  </si>
  <si>
    <t>$/year</t>
  </si>
  <si>
    <t>$/week</t>
  </si>
  <si>
    <t>kWh of eV</t>
  </si>
  <si>
    <t>$/day</t>
  </si>
  <si>
    <t>miles driven/day</t>
  </si>
  <si>
    <t>miles/kWh</t>
  </si>
  <si>
    <t>Miles on eV</t>
  </si>
  <si>
    <t>$/Gal Gas</t>
  </si>
  <si>
    <t>mpg</t>
  </si>
  <si>
    <t>kWh cost</t>
  </si>
  <si>
    <t>Regular
per Year</t>
  </si>
  <si>
    <t>Prime
per Year</t>
  </si>
  <si>
    <t>Regular
Cost</t>
  </si>
  <si>
    <t>Prime
Cost</t>
  </si>
  <si>
    <t>Miles
per Day</t>
  </si>
  <si>
    <t>Prius Prime</t>
  </si>
  <si>
    <t>Regular Vehicle</t>
  </si>
  <si>
    <t>Variables</t>
  </si>
  <si>
    <t>EV Energy Loss to System?</t>
  </si>
  <si>
    <t>% Battery Loss Friction</t>
  </si>
  <si>
    <t>% Battery Loss KE Regen</t>
  </si>
  <si>
    <t>Energy loss to Regeneration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</si>
</sst>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164" formatCode="0.0%"/>
    <numFmt numFmtId="165" formatCode="0.0000"/>
    <numFmt numFmtId="167" formatCode="[$-F400]h:mm:ss\ AM/PM"/>
    <numFmt numFmtId="178" formatCode="0.00000"/>
    <numFmt numFmtId="179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24"/>
      <color rgb="FF222222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rgb="FF9C0006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7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5" borderId="0" applyNumberFormat="0" applyBorder="0" applyAlignment="0" applyProtection="0"/>
    <xf numFmtId="0" fontId="4" fillId="6" borderId="0" applyNumberFormat="0" applyBorder="0" applyAlignment="0" applyProtection="0"/>
    <xf numFmtId="0" fontId="2" fillId="7" borderId="0" applyNumberFormat="0" applyBorder="0" applyAlignment="0" applyProtection="0"/>
    <xf numFmtId="0" fontId="6" fillId="0" borderId="0" applyNumberFormat="0" applyFill="0" applyBorder="0" applyAlignment="0" applyProtection="0"/>
  </cellStyleXfs>
  <cellXfs count="94">
    <xf numFmtId="0" fontId="0" fillId="0" borderId="0" xfId="0"/>
    <xf numFmtId="3" fontId="0" fillId="0" borderId="0" xfId="0" applyNumberFormat="1"/>
    <xf numFmtId="9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165" fontId="0" fillId="0" borderId="0" xfId="0" applyNumberFormat="1" applyFont="1"/>
    <xf numFmtId="0" fontId="0" fillId="0" borderId="0" xfId="0" applyFont="1"/>
    <xf numFmtId="2" fontId="0" fillId="3" borderId="0" xfId="0" applyNumberFormat="1" applyFill="1"/>
    <xf numFmtId="0" fontId="0" fillId="3" borderId="0" xfId="0" applyFill="1"/>
    <xf numFmtId="0" fontId="0" fillId="0" borderId="0" xfId="0" applyFont="1" applyFill="1"/>
    <xf numFmtId="165" fontId="0" fillId="4" borderId="0" xfId="0" applyNumberFormat="1" applyFont="1" applyFill="1"/>
    <xf numFmtId="0" fontId="0" fillId="4" borderId="0" xfId="0" applyFont="1" applyFill="1"/>
    <xf numFmtId="165" fontId="0" fillId="0" borderId="0" xfId="0" applyNumberFormat="1" applyFill="1"/>
    <xf numFmtId="0" fontId="1" fillId="2" borderId="0" xfId="0" applyFont="1" applyFill="1" applyAlignment="1">
      <alignment horizontal="center"/>
    </xf>
    <xf numFmtId="2" fontId="1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10" fontId="0" fillId="0" borderId="0" xfId="2" applyNumberFormat="1" applyFont="1"/>
    <xf numFmtId="0" fontId="0" fillId="0" borderId="1" xfId="0" applyBorder="1"/>
    <xf numFmtId="0" fontId="5" fillId="0" borderId="0" xfId="0" applyFont="1"/>
    <xf numFmtId="0" fontId="0" fillId="0" borderId="1" xfId="0" applyBorder="1" applyAlignment="1">
      <alignment vertical="top"/>
    </xf>
    <xf numFmtId="0" fontId="0" fillId="10" borderId="0" xfId="0" applyFill="1"/>
    <xf numFmtId="10" fontId="0" fillId="10" borderId="0" xfId="0" applyNumberFormat="1" applyFill="1"/>
    <xf numFmtId="0" fontId="0" fillId="3" borderId="1" xfId="0" applyFill="1" applyBorder="1"/>
    <xf numFmtId="10" fontId="0" fillId="9" borderId="1" xfId="2" applyNumberFormat="1" applyFont="1" applyFill="1" applyBorder="1"/>
    <xf numFmtId="0" fontId="0" fillId="9" borderId="1" xfId="0" applyFill="1" applyBorder="1"/>
    <xf numFmtId="10" fontId="0" fillId="11" borderId="1" xfId="2" applyNumberFormat="1" applyFont="1" applyFill="1" applyBorder="1"/>
    <xf numFmtId="0" fontId="0" fillId="11" borderId="1" xfId="0" applyFill="1" applyBorder="1"/>
    <xf numFmtId="0" fontId="0" fillId="12" borderId="1" xfId="0" applyFill="1" applyBorder="1"/>
    <xf numFmtId="0" fontId="0" fillId="13" borderId="1" xfId="0" applyFill="1" applyBorder="1"/>
    <xf numFmtId="0" fontId="0" fillId="14" borderId="1" xfId="0" applyFill="1" applyBorder="1"/>
    <xf numFmtId="0" fontId="0" fillId="4" borderId="1" xfId="0" applyFill="1" applyBorder="1"/>
    <xf numFmtId="2" fontId="0" fillId="0" borderId="1" xfId="0" applyNumberFormat="1" applyBorder="1"/>
    <xf numFmtId="0" fontId="6" fillId="0" borderId="0" xfId="6"/>
    <xf numFmtId="9" fontId="0" fillId="0" borderId="0" xfId="0" applyNumberFormat="1" applyAlignment="1">
      <alignment horizontal="right"/>
    </xf>
    <xf numFmtId="178" fontId="0" fillId="0" borderId="0" xfId="0" applyNumberFormat="1"/>
    <xf numFmtId="179" fontId="0" fillId="0" borderId="0" xfId="0" applyNumberFormat="1"/>
    <xf numFmtId="2" fontId="0" fillId="11" borderId="1" xfId="0" applyNumberFormat="1" applyFill="1" applyBorder="1"/>
    <xf numFmtId="167" fontId="0" fillId="4" borderId="1" xfId="0" applyNumberForma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179" fontId="0" fillId="3" borderId="1" xfId="0" applyNumberFormat="1" applyFill="1" applyBorder="1"/>
    <xf numFmtId="9" fontId="0" fillId="14" borderId="1" xfId="0" applyNumberFormat="1" applyFill="1" applyBorder="1"/>
    <xf numFmtId="2" fontId="0" fillId="13" borderId="1" xfId="0" applyNumberFormat="1" applyFill="1" applyBorder="1"/>
    <xf numFmtId="0" fontId="0" fillId="13" borderId="1" xfId="0" applyFill="1" applyBorder="1" applyAlignment="1">
      <alignment vertical="top"/>
    </xf>
    <xf numFmtId="2" fontId="0" fillId="14" borderId="1" xfId="0" applyNumberFormat="1" applyFill="1" applyBorder="1"/>
    <xf numFmtId="0" fontId="0" fillId="14" borderId="1" xfId="0" applyFill="1" applyBorder="1" applyAlignment="1">
      <alignment vertical="top"/>
    </xf>
    <xf numFmtId="10" fontId="9" fillId="16" borderId="5" xfId="0" applyNumberFormat="1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167" fontId="0" fillId="9" borderId="2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2" fontId="0" fillId="13" borderId="1" xfId="0" applyNumberFormat="1" applyFill="1" applyBorder="1" applyAlignment="1">
      <alignment vertical="top"/>
    </xf>
    <xf numFmtId="10" fontId="0" fillId="4" borderId="1" xfId="2" applyNumberFormat="1" applyFont="1" applyFill="1" applyBorder="1"/>
    <xf numFmtId="2" fontId="0" fillId="15" borderId="1" xfId="0" applyNumberFormat="1" applyFill="1" applyBorder="1"/>
    <xf numFmtId="0" fontId="0" fillId="15" borderId="1" xfId="0" applyFill="1" applyBorder="1"/>
    <xf numFmtId="165" fontId="0" fillId="15" borderId="1" xfId="0" applyNumberFormat="1" applyFill="1" applyBorder="1"/>
    <xf numFmtId="9" fontId="0" fillId="15" borderId="1" xfId="0" applyNumberFormat="1" applyFill="1" applyBorder="1"/>
    <xf numFmtId="0" fontId="6" fillId="15" borderId="1" xfId="6" applyFill="1" applyBorder="1"/>
    <xf numFmtId="0" fontId="2" fillId="15" borderId="1" xfId="6" applyFont="1" applyFill="1" applyBorder="1"/>
    <xf numFmtId="44" fontId="0" fillId="0" borderId="0" xfId="1" applyFont="1"/>
    <xf numFmtId="0" fontId="0" fillId="0" borderId="0" xfId="0" applyAlignment="1">
      <alignment horizontal="center"/>
    </xf>
    <xf numFmtId="44" fontId="0" fillId="8" borderId="0" xfId="1" applyFont="1" applyFill="1"/>
    <xf numFmtId="0" fontId="0" fillId="8" borderId="0" xfId="0" applyFill="1" applyAlignment="1">
      <alignment horizontal="center"/>
    </xf>
    <xf numFmtId="44" fontId="0" fillId="0" borderId="0" xfId="1" applyFont="1" applyFill="1"/>
    <xf numFmtId="0" fontId="0" fillId="0" borderId="0" xfId="0" applyFill="1" applyAlignment="1">
      <alignment horizontal="center"/>
    </xf>
    <xf numFmtId="0" fontId="3" fillId="5" borderId="6" xfId="3" applyBorder="1"/>
    <xf numFmtId="44" fontId="3" fillId="5" borderId="7" xfId="3" applyNumberFormat="1" applyBorder="1"/>
    <xf numFmtId="0" fontId="4" fillId="6" borderId="6" xfId="4" applyBorder="1"/>
    <xf numFmtId="44" fontId="4" fillId="6" borderId="7" xfId="4" applyNumberFormat="1" applyBorder="1"/>
    <xf numFmtId="0" fontId="3" fillId="5" borderId="8" xfId="3" applyBorder="1"/>
    <xf numFmtId="44" fontId="3" fillId="5" borderId="9" xfId="3" applyNumberFormat="1" applyBorder="1"/>
    <xf numFmtId="0" fontId="4" fillId="6" borderId="8" xfId="4" applyBorder="1"/>
    <xf numFmtId="44" fontId="4" fillId="6" borderId="9" xfId="4" applyNumberFormat="1" applyBorder="1"/>
    <xf numFmtId="0" fontId="1" fillId="7" borderId="10" xfId="5" applyFont="1" applyBorder="1"/>
    <xf numFmtId="0" fontId="1" fillId="7" borderId="11" xfId="5" applyFont="1" applyBorder="1"/>
    <xf numFmtId="0" fontId="1" fillId="7" borderId="8" xfId="5" applyFont="1" applyBorder="1"/>
    <xf numFmtId="0" fontId="1" fillId="7" borderId="9" xfId="5" applyFont="1" applyBorder="1"/>
    <xf numFmtId="0" fontId="3" fillId="5" borderId="9" xfId="3" applyBorder="1"/>
    <xf numFmtId="0" fontId="4" fillId="6" borderId="9" xfId="4" applyBorder="1"/>
    <xf numFmtId="0" fontId="0" fillId="7" borderId="8" xfId="5" applyFont="1" applyBorder="1"/>
    <xf numFmtId="44" fontId="2" fillId="7" borderId="9" xfId="1" applyFill="1" applyBorder="1"/>
    <xf numFmtId="44" fontId="0" fillId="0" borderId="0" xfId="1" applyFont="1" applyAlignment="1">
      <alignment horizontal="left" wrapText="1"/>
    </xf>
    <xf numFmtId="0" fontId="0" fillId="0" borderId="0" xfId="0" applyAlignment="1">
      <alignment horizontal="left" wrapText="1"/>
    </xf>
    <xf numFmtId="0" fontId="11" fillId="5" borderId="12" xfId="3" applyFont="1" applyBorder="1" applyAlignment="1">
      <alignment horizontal="center" vertical="center"/>
    </xf>
    <xf numFmtId="0" fontId="11" fillId="5" borderId="13" xfId="3" applyFont="1" applyBorder="1" applyAlignment="1">
      <alignment horizontal="center" vertical="center"/>
    </xf>
    <xf numFmtId="0" fontId="12" fillId="6" borderId="12" xfId="4" applyFont="1" applyBorder="1" applyAlignment="1">
      <alignment horizontal="center" vertical="center"/>
    </xf>
    <xf numFmtId="0" fontId="12" fillId="6" borderId="13" xfId="4" applyFont="1" applyBorder="1" applyAlignment="1">
      <alignment horizontal="center" vertical="center"/>
    </xf>
    <xf numFmtId="0" fontId="1" fillId="7" borderId="12" xfId="5" applyFont="1" applyBorder="1" applyAlignment="1">
      <alignment horizontal="center" vertical="center"/>
    </xf>
    <xf numFmtId="0" fontId="1" fillId="7" borderId="13" xfId="5" applyFont="1" applyBorder="1" applyAlignment="1">
      <alignment horizontal="center" vertical="center"/>
    </xf>
    <xf numFmtId="0" fontId="0" fillId="12" borderId="0" xfId="0" applyFill="1" applyBorder="1"/>
  </cellXfs>
  <cellStyles count="7">
    <cellStyle name="20% - Accent1" xfId="5" builtinId="30"/>
    <cellStyle name="Bad" xfId="4" builtinId="27"/>
    <cellStyle name="Currency" xfId="1" builtinId="4"/>
    <cellStyle name="Good" xfId="3" builtinId="26"/>
    <cellStyle name="Hyperlink" xfId="6" builtinId="8"/>
    <cellStyle name="Normal" xfId="0" builtinId="0"/>
    <cellStyle name="Percent" xfId="2" builtinId="5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72133268844397"/>
          <c:y val="4.1083099906629318E-2"/>
          <c:w val="0.7476919880612195"/>
          <c:h val="0.8051043619547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'Prime Gas Cost Savings'!$K$1</c:f>
              <c:strCache>
                <c:ptCount val="1"/>
                <c:pt idx="0">
                  <c:v>Prime
Cost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'Prime Gas Cost Savings'!$J$2:$J$54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xVal>
          <c:yVal>
            <c:numRef>
              <c:f>'Prime Gas Cost Savings'!$K$2:$K$54</c:f>
              <c:numCache>
                <c:formatCode>_("$"* #,##0.00_);_("$"* \(#,##0.00\);_("$"* "-"??_);_(@_)</c:formatCode>
                <c:ptCount val="53"/>
                <c:pt idx="0">
                  <c:v>4.0816326530612242E-2</c:v>
                </c:pt>
                <c:pt idx="1">
                  <c:v>8.1632653061224483E-2</c:v>
                </c:pt>
                <c:pt idx="2">
                  <c:v>0.12244897959183672</c:v>
                </c:pt>
                <c:pt idx="3">
                  <c:v>0.16326530612244897</c:v>
                </c:pt>
                <c:pt idx="4">
                  <c:v>0.20408163265306123</c:v>
                </c:pt>
                <c:pt idx="5">
                  <c:v>0.24489795918367344</c:v>
                </c:pt>
                <c:pt idx="6">
                  <c:v>0.2857142857142857</c:v>
                </c:pt>
                <c:pt idx="7">
                  <c:v>0.32653061224489793</c:v>
                </c:pt>
                <c:pt idx="8">
                  <c:v>0.36734693877551017</c:v>
                </c:pt>
                <c:pt idx="9">
                  <c:v>0.40816326530612246</c:v>
                </c:pt>
                <c:pt idx="10">
                  <c:v>0.44897959183673469</c:v>
                </c:pt>
                <c:pt idx="11">
                  <c:v>0.48979591836734687</c:v>
                </c:pt>
                <c:pt idx="12">
                  <c:v>0.53061224489795922</c:v>
                </c:pt>
                <c:pt idx="13">
                  <c:v>0.5714285714285714</c:v>
                </c:pt>
                <c:pt idx="14">
                  <c:v>0.61224489795918369</c:v>
                </c:pt>
                <c:pt idx="15">
                  <c:v>0.65306122448979587</c:v>
                </c:pt>
                <c:pt idx="16">
                  <c:v>0.69387755102040816</c:v>
                </c:pt>
                <c:pt idx="17">
                  <c:v>0.73469387755102034</c:v>
                </c:pt>
                <c:pt idx="18">
                  <c:v>0.77551020408163263</c:v>
                </c:pt>
                <c:pt idx="19">
                  <c:v>0.81632653061224492</c:v>
                </c:pt>
                <c:pt idx="20">
                  <c:v>0.85714285714285721</c:v>
                </c:pt>
                <c:pt idx="21">
                  <c:v>0.89795918367346939</c:v>
                </c:pt>
                <c:pt idx="22">
                  <c:v>0.93877551020408156</c:v>
                </c:pt>
                <c:pt idx="23">
                  <c:v>0.97959183673469374</c:v>
                </c:pt>
                <c:pt idx="24">
                  <c:v>1.0204081632653061</c:v>
                </c:pt>
                <c:pt idx="25">
                  <c:v>1.0612244897959184</c:v>
                </c:pt>
                <c:pt idx="26">
                  <c:v>1.1020408163265305</c:v>
                </c:pt>
                <c:pt idx="27">
                  <c:v>1.1428571428571428</c:v>
                </c:pt>
                <c:pt idx="28">
                  <c:v>1.1836734693877551</c:v>
                </c:pt>
                <c:pt idx="29">
                  <c:v>1.24</c:v>
                </c:pt>
                <c:pt idx="30">
                  <c:v>1.3066666666666666</c:v>
                </c:pt>
                <c:pt idx="31">
                  <c:v>1.3733333333333333</c:v>
                </c:pt>
                <c:pt idx="32">
                  <c:v>1.44</c:v>
                </c:pt>
                <c:pt idx="33">
                  <c:v>1.5066666666666668</c:v>
                </c:pt>
                <c:pt idx="34">
                  <c:v>1.5733333333333333</c:v>
                </c:pt>
                <c:pt idx="35">
                  <c:v>1.6400000000000001</c:v>
                </c:pt>
                <c:pt idx="36">
                  <c:v>1.7066666666666666</c:v>
                </c:pt>
                <c:pt idx="37">
                  <c:v>1.7733333333333334</c:v>
                </c:pt>
                <c:pt idx="38">
                  <c:v>1.8399999999999999</c:v>
                </c:pt>
                <c:pt idx="39">
                  <c:v>1.9066666666666667</c:v>
                </c:pt>
                <c:pt idx="40">
                  <c:v>1.9733333333333334</c:v>
                </c:pt>
                <c:pt idx="41">
                  <c:v>2.04</c:v>
                </c:pt>
                <c:pt idx="42">
                  <c:v>2.1066666666666669</c:v>
                </c:pt>
                <c:pt idx="43">
                  <c:v>2.1733333333333333</c:v>
                </c:pt>
                <c:pt idx="44">
                  <c:v>2.2400000000000002</c:v>
                </c:pt>
                <c:pt idx="45">
                  <c:v>2.3066666666666666</c:v>
                </c:pt>
                <c:pt idx="46">
                  <c:v>2.3733333333333335</c:v>
                </c:pt>
                <c:pt idx="47">
                  <c:v>2.44</c:v>
                </c:pt>
                <c:pt idx="48">
                  <c:v>2.5066666666666668</c:v>
                </c:pt>
                <c:pt idx="49">
                  <c:v>2.5733333333333333</c:v>
                </c:pt>
                <c:pt idx="50">
                  <c:v>2.64</c:v>
                </c:pt>
                <c:pt idx="51">
                  <c:v>2.7066666666666666</c:v>
                </c:pt>
                <c:pt idx="52">
                  <c:v>2.7733333333333334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48-408E-9166-03C214AE060E}"/>
            </c:ext>
          </c:extLst>
        </c:ser>
        <c:ser>
          <c:idx val="1"/>
          <c:order val="1"/>
          <c:tx>
            <c:strRef>
              <c:f>'Prime Gas Cost Savings'!$L$1</c:f>
              <c:strCache>
                <c:ptCount val="1"/>
                <c:pt idx="0">
                  <c:v>Regular
Cost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'Prime Gas Cost Savings'!$J$2:$J$54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xVal>
          <c:yVal>
            <c:numRef>
              <c:f>'Prime Gas Cost Savings'!$L$2:$L$54</c:f>
              <c:numCache>
                <c:formatCode>_("$"* #,##0.00_);_("$"* \(#,##0.00\);_("$"* "-"??_);_(@_)</c:formatCode>
                <c:ptCount val="53"/>
                <c:pt idx="0">
                  <c:v>0.15652173913043479</c:v>
                </c:pt>
                <c:pt idx="1">
                  <c:v>0.31304347826086959</c:v>
                </c:pt>
                <c:pt idx="2">
                  <c:v>0.46956521739130436</c:v>
                </c:pt>
                <c:pt idx="3">
                  <c:v>0.62608695652173918</c:v>
                </c:pt>
                <c:pt idx="4">
                  <c:v>0.78260869565217395</c:v>
                </c:pt>
                <c:pt idx="5">
                  <c:v>0.93913043478260871</c:v>
                </c:pt>
                <c:pt idx="6">
                  <c:v>1.0956521739130436</c:v>
                </c:pt>
                <c:pt idx="7">
                  <c:v>1.2521739130434784</c:v>
                </c:pt>
                <c:pt idx="8">
                  <c:v>1.4086956521739131</c:v>
                </c:pt>
                <c:pt idx="9">
                  <c:v>1.5652173913043479</c:v>
                </c:pt>
                <c:pt idx="10">
                  <c:v>1.7217391304347827</c:v>
                </c:pt>
                <c:pt idx="11">
                  <c:v>1.8782608695652174</c:v>
                </c:pt>
                <c:pt idx="12">
                  <c:v>2.034782608695652</c:v>
                </c:pt>
                <c:pt idx="13">
                  <c:v>2.1913043478260872</c:v>
                </c:pt>
                <c:pt idx="14">
                  <c:v>2.347826086956522</c:v>
                </c:pt>
                <c:pt idx="15">
                  <c:v>2.5043478260869567</c:v>
                </c:pt>
                <c:pt idx="16">
                  <c:v>2.660869565217391</c:v>
                </c:pt>
                <c:pt idx="17">
                  <c:v>2.8173913043478263</c:v>
                </c:pt>
                <c:pt idx="18">
                  <c:v>2.973913043478261</c:v>
                </c:pt>
                <c:pt idx="19">
                  <c:v>3.1304347826086958</c:v>
                </c:pt>
                <c:pt idx="20">
                  <c:v>3.2869565217391301</c:v>
                </c:pt>
                <c:pt idx="21">
                  <c:v>3.4434782608695653</c:v>
                </c:pt>
                <c:pt idx="22">
                  <c:v>3.6</c:v>
                </c:pt>
                <c:pt idx="23">
                  <c:v>3.7565217391304349</c:v>
                </c:pt>
                <c:pt idx="24">
                  <c:v>3.9130434782608696</c:v>
                </c:pt>
                <c:pt idx="25">
                  <c:v>4.0695652173913039</c:v>
                </c:pt>
                <c:pt idx="26">
                  <c:v>4.2260869565217396</c:v>
                </c:pt>
                <c:pt idx="27">
                  <c:v>4.3826086956521744</c:v>
                </c:pt>
                <c:pt idx="28">
                  <c:v>4.5391304347826091</c:v>
                </c:pt>
                <c:pt idx="29">
                  <c:v>4.6956521739130439</c:v>
                </c:pt>
                <c:pt idx="30">
                  <c:v>4.8521739130434787</c:v>
                </c:pt>
                <c:pt idx="31">
                  <c:v>5.0086956521739134</c:v>
                </c:pt>
                <c:pt idx="32">
                  <c:v>5.1652173913043473</c:v>
                </c:pt>
                <c:pt idx="33">
                  <c:v>5.3217391304347821</c:v>
                </c:pt>
                <c:pt idx="34">
                  <c:v>5.4782608695652177</c:v>
                </c:pt>
                <c:pt idx="35">
                  <c:v>5.6347826086956525</c:v>
                </c:pt>
                <c:pt idx="36">
                  <c:v>5.7913043478260873</c:v>
                </c:pt>
                <c:pt idx="37">
                  <c:v>5.947826086956522</c:v>
                </c:pt>
                <c:pt idx="38">
                  <c:v>6.1043478260869568</c:v>
                </c:pt>
                <c:pt idx="39">
                  <c:v>6.2608695652173916</c:v>
                </c:pt>
                <c:pt idx="40">
                  <c:v>6.4173913043478263</c:v>
                </c:pt>
                <c:pt idx="41">
                  <c:v>6.5739130434782602</c:v>
                </c:pt>
                <c:pt idx="42">
                  <c:v>6.7304347826086959</c:v>
                </c:pt>
                <c:pt idx="43">
                  <c:v>6.8869565217391306</c:v>
                </c:pt>
                <c:pt idx="44">
                  <c:v>7.0434782608695654</c:v>
                </c:pt>
                <c:pt idx="45">
                  <c:v>7.2</c:v>
                </c:pt>
                <c:pt idx="46">
                  <c:v>7.3565217391304358</c:v>
                </c:pt>
                <c:pt idx="47">
                  <c:v>7.5130434782608697</c:v>
                </c:pt>
                <c:pt idx="48">
                  <c:v>7.6695652173913054</c:v>
                </c:pt>
                <c:pt idx="49">
                  <c:v>7.8260869565217392</c:v>
                </c:pt>
                <c:pt idx="50">
                  <c:v>7.982608695652174</c:v>
                </c:pt>
                <c:pt idx="51">
                  <c:v>8.1391304347826079</c:v>
                </c:pt>
                <c:pt idx="52">
                  <c:v>8.2956521739130444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48-408E-9166-03C214AE0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823455"/>
        <c:axId val="274826367"/>
      </c:scatterChart>
      <c:valAx>
        <c:axId val="274823455"/>
        <c:scaling>
          <c:orientation val="minMax"/>
          <c:max val="55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Miles Driven per Day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826367"/>
        <c:crosses val="autoZero"/>
        <c:crossBetween val="midCat"/>
      </c:valAx>
      <c:valAx>
        <c:axId val="27482636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$/day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82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4267463555008"/>
          <c:y val="4.0182648401826483E-2"/>
          <c:w val="0.71288287006292883"/>
          <c:h val="0.802070111099126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'Prime Gas Cost Savings'!$M$1</c:f>
              <c:strCache>
                <c:ptCount val="1"/>
                <c:pt idx="0">
                  <c:v>Prime
per Year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'Prime Gas Cost Savings'!$J$2:$J$54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xVal>
          <c:yVal>
            <c:numRef>
              <c:f>'Prime Gas Cost Savings'!$M$2:$M$54</c:f>
              <c:numCache>
                <c:formatCode>_("$"* #,##0.00_);_("$"* \(#,##0.00\);_("$"* "-"??_);_(@_)</c:formatCode>
                <c:ptCount val="53"/>
                <c:pt idx="0">
                  <c:v>10.653061224489795</c:v>
                </c:pt>
                <c:pt idx="1">
                  <c:v>21.30612244897959</c:v>
                </c:pt>
                <c:pt idx="2">
                  <c:v>31.959183673469383</c:v>
                </c:pt>
                <c:pt idx="3">
                  <c:v>42.612244897959179</c:v>
                </c:pt>
                <c:pt idx="4">
                  <c:v>53.265306122448983</c:v>
                </c:pt>
                <c:pt idx="5">
                  <c:v>63.918367346938766</c:v>
                </c:pt>
                <c:pt idx="6">
                  <c:v>74.571428571428569</c:v>
                </c:pt>
                <c:pt idx="7">
                  <c:v>85.224489795918359</c:v>
                </c:pt>
                <c:pt idx="8">
                  <c:v>95.877551020408148</c:v>
                </c:pt>
                <c:pt idx="9">
                  <c:v>106.53061224489797</c:v>
                </c:pt>
                <c:pt idx="10">
                  <c:v>117.18367346938776</c:v>
                </c:pt>
                <c:pt idx="11">
                  <c:v>127.83673469387753</c:v>
                </c:pt>
                <c:pt idx="12">
                  <c:v>138.48979591836735</c:v>
                </c:pt>
                <c:pt idx="13">
                  <c:v>149.14285714285714</c:v>
                </c:pt>
                <c:pt idx="14">
                  <c:v>159.79591836734693</c:v>
                </c:pt>
                <c:pt idx="15">
                  <c:v>170.44897959183672</c:v>
                </c:pt>
                <c:pt idx="16">
                  <c:v>181.10204081632654</c:v>
                </c:pt>
                <c:pt idx="17">
                  <c:v>191.7551020408163</c:v>
                </c:pt>
                <c:pt idx="18">
                  <c:v>202.40816326530611</c:v>
                </c:pt>
                <c:pt idx="19">
                  <c:v>213.06122448979593</c:v>
                </c:pt>
                <c:pt idx="20">
                  <c:v>223.71428571428572</c:v>
                </c:pt>
                <c:pt idx="21">
                  <c:v>234.36734693877551</c:v>
                </c:pt>
                <c:pt idx="22">
                  <c:v>245.0204081632653</c:v>
                </c:pt>
                <c:pt idx="23">
                  <c:v>255.67346938775506</c:v>
                </c:pt>
                <c:pt idx="24">
                  <c:v>266.32653061224488</c:v>
                </c:pt>
                <c:pt idx="25">
                  <c:v>276.9795918367347</c:v>
                </c:pt>
                <c:pt idx="26">
                  <c:v>287.63265306122446</c:v>
                </c:pt>
                <c:pt idx="27">
                  <c:v>298.28571428571428</c:v>
                </c:pt>
                <c:pt idx="28">
                  <c:v>308.9387755102041</c:v>
                </c:pt>
                <c:pt idx="29">
                  <c:v>323.64</c:v>
                </c:pt>
                <c:pt idx="30">
                  <c:v>341.04</c:v>
                </c:pt>
                <c:pt idx="31">
                  <c:v>358.44</c:v>
                </c:pt>
                <c:pt idx="32">
                  <c:v>375.84</c:v>
                </c:pt>
                <c:pt idx="33">
                  <c:v>393.24000000000007</c:v>
                </c:pt>
                <c:pt idx="34">
                  <c:v>410.64</c:v>
                </c:pt>
                <c:pt idx="35">
                  <c:v>428.04</c:v>
                </c:pt>
                <c:pt idx="36">
                  <c:v>445.44</c:v>
                </c:pt>
                <c:pt idx="37">
                  <c:v>462.84000000000003</c:v>
                </c:pt>
                <c:pt idx="38">
                  <c:v>480.23999999999995</c:v>
                </c:pt>
                <c:pt idx="39">
                  <c:v>497.64000000000004</c:v>
                </c:pt>
                <c:pt idx="40">
                  <c:v>515.04</c:v>
                </c:pt>
                <c:pt idx="41">
                  <c:v>532.44000000000005</c:v>
                </c:pt>
                <c:pt idx="42">
                  <c:v>549.84</c:v>
                </c:pt>
                <c:pt idx="43">
                  <c:v>567.24</c:v>
                </c:pt>
                <c:pt idx="44">
                  <c:v>584.6400000000001</c:v>
                </c:pt>
                <c:pt idx="45">
                  <c:v>602.04</c:v>
                </c:pt>
                <c:pt idx="46">
                  <c:v>619.44000000000005</c:v>
                </c:pt>
                <c:pt idx="47">
                  <c:v>636.84</c:v>
                </c:pt>
                <c:pt idx="48">
                  <c:v>654.24</c:v>
                </c:pt>
                <c:pt idx="49">
                  <c:v>671.64</c:v>
                </c:pt>
                <c:pt idx="50">
                  <c:v>689.04000000000008</c:v>
                </c:pt>
                <c:pt idx="51">
                  <c:v>706.43999999999994</c:v>
                </c:pt>
                <c:pt idx="52">
                  <c:v>723.84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71-49DE-9CC2-DE7006107C14}"/>
            </c:ext>
          </c:extLst>
        </c:ser>
        <c:ser>
          <c:idx val="1"/>
          <c:order val="1"/>
          <c:tx>
            <c:strRef>
              <c:f>'Prime Gas Cost Savings'!$N$1</c:f>
              <c:strCache>
                <c:ptCount val="1"/>
                <c:pt idx="0">
                  <c:v>Regular
per Year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'Prime Gas Cost Savings'!$J$2:$J$54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xVal>
          <c:yVal>
            <c:numRef>
              <c:f>'Prime Gas Cost Savings'!$N$2:$N$54</c:f>
              <c:numCache>
                <c:formatCode>_("$"* #,##0.00_);_("$"* \(#,##0.00\);_("$"* "-"??_);_(@_)</c:formatCode>
                <c:ptCount val="53"/>
                <c:pt idx="0">
                  <c:v>40.85217391304348</c:v>
                </c:pt>
                <c:pt idx="1">
                  <c:v>81.704347826086959</c:v>
                </c:pt>
                <c:pt idx="2">
                  <c:v>122.55652173913043</c:v>
                </c:pt>
                <c:pt idx="3">
                  <c:v>163.40869565217392</c:v>
                </c:pt>
                <c:pt idx="4">
                  <c:v>204.2608695652174</c:v>
                </c:pt>
                <c:pt idx="5">
                  <c:v>245.11304347826086</c:v>
                </c:pt>
                <c:pt idx="6">
                  <c:v>285.96521739130435</c:v>
                </c:pt>
                <c:pt idx="7">
                  <c:v>326.81739130434784</c:v>
                </c:pt>
                <c:pt idx="8">
                  <c:v>367.66956521739132</c:v>
                </c:pt>
                <c:pt idx="9">
                  <c:v>408.52173913043481</c:v>
                </c:pt>
                <c:pt idx="10">
                  <c:v>449.3739130434783</c:v>
                </c:pt>
                <c:pt idx="11">
                  <c:v>490.22608695652173</c:v>
                </c:pt>
                <c:pt idx="12">
                  <c:v>531.07826086956516</c:v>
                </c:pt>
                <c:pt idx="13">
                  <c:v>571.9304347826087</c:v>
                </c:pt>
                <c:pt idx="14">
                  <c:v>612.78260869565224</c:v>
                </c:pt>
                <c:pt idx="15">
                  <c:v>653.63478260869567</c:v>
                </c:pt>
                <c:pt idx="16">
                  <c:v>694.4869565217391</c:v>
                </c:pt>
                <c:pt idx="17">
                  <c:v>735.33913043478265</c:v>
                </c:pt>
                <c:pt idx="18">
                  <c:v>776.19130434782608</c:v>
                </c:pt>
                <c:pt idx="19">
                  <c:v>817.04347826086962</c:v>
                </c:pt>
                <c:pt idx="20">
                  <c:v>857.89565217391294</c:v>
                </c:pt>
                <c:pt idx="21">
                  <c:v>898.74782608695659</c:v>
                </c:pt>
                <c:pt idx="22">
                  <c:v>939.6</c:v>
                </c:pt>
                <c:pt idx="23">
                  <c:v>980.45217391304345</c:v>
                </c:pt>
                <c:pt idx="24">
                  <c:v>1021.304347826087</c:v>
                </c:pt>
                <c:pt idx="25">
                  <c:v>1062.1565217391303</c:v>
                </c:pt>
                <c:pt idx="26">
                  <c:v>1103.0086956521741</c:v>
                </c:pt>
                <c:pt idx="27">
                  <c:v>1143.8608695652174</c:v>
                </c:pt>
                <c:pt idx="28">
                  <c:v>1184.7130434782609</c:v>
                </c:pt>
                <c:pt idx="29">
                  <c:v>1225.5652173913045</c:v>
                </c:pt>
                <c:pt idx="30">
                  <c:v>1266.417391304348</c:v>
                </c:pt>
                <c:pt idx="31">
                  <c:v>1307.2695652173913</c:v>
                </c:pt>
                <c:pt idx="32">
                  <c:v>1348.1217391304347</c:v>
                </c:pt>
                <c:pt idx="33">
                  <c:v>1388.9739130434782</c:v>
                </c:pt>
                <c:pt idx="34">
                  <c:v>1429.8260869565217</c:v>
                </c:pt>
                <c:pt idx="35">
                  <c:v>1470.6782608695653</c:v>
                </c:pt>
                <c:pt idx="36">
                  <c:v>1511.5304347826088</c:v>
                </c:pt>
                <c:pt idx="37">
                  <c:v>1552.3826086956522</c:v>
                </c:pt>
                <c:pt idx="38">
                  <c:v>1593.2347826086957</c:v>
                </c:pt>
                <c:pt idx="39">
                  <c:v>1634.0869565217392</c:v>
                </c:pt>
                <c:pt idx="40">
                  <c:v>1674.9391304347828</c:v>
                </c:pt>
                <c:pt idx="41">
                  <c:v>1715.7913043478259</c:v>
                </c:pt>
                <c:pt idx="42">
                  <c:v>1756.6434782608696</c:v>
                </c:pt>
                <c:pt idx="43">
                  <c:v>1797.4956521739132</c:v>
                </c:pt>
                <c:pt idx="44">
                  <c:v>1838.3478260869565</c:v>
                </c:pt>
                <c:pt idx="45">
                  <c:v>1879.2</c:v>
                </c:pt>
                <c:pt idx="46">
                  <c:v>1920.0521739130438</c:v>
                </c:pt>
                <c:pt idx="47">
                  <c:v>1960.9043478260869</c:v>
                </c:pt>
                <c:pt idx="48">
                  <c:v>2001.7565217391307</c:v>
                </c:pt>
                <c:pt idx="49">
                  <c:v>2042.608695652174</c:v>
                </c:pt>
                <c:pt idx="50">
                  <c:v>2083.4608695652173</c:v>
                </c:pt>
                <c:pt idx="51">
                  <c:v>2124.3130434782606</c:v>
                </c:pt>
                <c:pt idx="52">
                  <c:v>2165.1652173913044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71-49DE-9CC2-DE700610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604751"/>
        <c:axId val="290596015"/>
      </c:scatterChart>
      <c:valAx>
        <c:axId val="290604751"/>
        <c:scaling>
          <c:orientation val="minMax"/>
          <c:max val="55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Miles Driven per Day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596015"/>
        <c:crosses val="autoZero"/>
        <c:crossBetween val="midCat"/>
      </c:valAx>
      <c:valAx>
        <c:axId val="290596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$/year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6047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171450</xdr:colOff>
      <xdr:row>9</xdr:row>
      <xdr:rowOff>180975</xdr:rowOff>
    </xdr:from>
    <xdr:to>
      <xdr:col>9</xdr:col>
      <xdr:colOff>847725</xdr:colOff>
      <xdr:row>11</xdr:row>
      <xdr:rowOff>171450</xdr:rowOff>
    </xdr:to>
    <xdr:pic>
      <xdr:nvPicPr>
        <xdr:cNvPr id="3" name="Picture 2" descr="http://www.softschools.com/formulas/images/air_resistance_formula_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895475"/>
          <a:ext cx="12858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581025</xdr:colOff>
      <xdr:row>0</xdr:row>
      <xdr:rowOff>152400</xdr:rowOff>
    </xdr:from>
    <xdr:to>
      <xdr:col>24</xdr:col>
      <xdr:colOff>56377</xdr:colOff>
      <xdr:row>20</xdr:row>
      <xdr:rowOff>142400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25550" y="152400"/>
          <a:ext cx="6180952" cy="38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575559</xdr:colOff>
      <xdr:row>0</xdr:row>
      <xdr:rowOff>26456</xdr:rowOff>
    </xdr:from>
    <xdr:to>
      <xdr:col>22</xdr:col>
      <xdr:colOff>257735</xdr:colOff>
      <xdr:row>53</xdr:row>
      <xdr:rowOff>138691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9735" y="26456"/>
          <a:ext cx="12120705" cy="10208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</xdr:row>
      <xdr:rowOff>0</xdr:rowOff>
    </xdr:from>
    <xdr:to>
      <xdr:col>8</xdr:col>
      <xdr:colOff>428624</xdr:colOff>
      <xdr:row>23</xdr:row>
      <xdr:rowOff>104776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23</xdr:row>
      <xdr:rowOff>123825</xdr:rowOff>
    </xdr:from>
    <xdr:to>
      <xdr:col>8</xdr:col>
      <xdr:colOff>428625</xdr:colOff>
      <xdr:row>40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le1" displayName="Table1" ref="J1:N54" totalsRowShown="0" headerRowDxfId="3">
  <autoFilter ref="J1:N54"/>
  <tableColumns count="5">
    <tableColumn id="1" name="Miles_x000a_per Day" dataDxfId="2"/>
    <tableColumn id="2" name="Prime_x000a_Cost" dataDxfId="1" dataCellStyle="Currency">
      <calculatedColumnFormula>IF(J2&lt;G$3,(J2/A$4*A$2),((G$3/A$4)*A$2)+((J2-G$3)/G$2*A$3))</calculatedColumnFormula>
    </tableColumn>
    <tableColumn id="3" name="Regular_x000a_Cost" dataCellStyle="Currency">
      <calculatedColumnFormula>Table1[[#This Row],[Miles
per Day]]/D$2*A$3</calculatedColumnFormula>
    </tableColumn>
    <tableColumn id="5" name="Prime_x000a_per Year" dataDxfId="0" dataCellStyle="Currency">
      <calculatedColumnFormula>Table1[[#This Row],[Prime
Cost]]*261</calculatedColumnFormula>
    </tableColumn>
    <tableColumn id="6" name="Regular_x000a_per Year" dataCellStyle="Currency">
      <calculatedColumnFormula>Table1[[#This Row],[Regular
Cost]]*261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proev.com/LLPgs/LLei0005.htm" TargetMode="External"/><Relationship Id="rId1" Type="http://schemas.openxmlformats.org/officeDocument/2006/relationships/hyperlink" Target="https://en.wikipedia.org/wiki/Moving_parts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6"/>
  <sheetViews>
    <sheetView tabSelected="1" workbookViewId="0">
      <selection activeCell="I25" sqref="I25"/>
    </sheetView>
  </sheetViews>
  <sheetFormatPr defaultRowHeight="15" x14ac:dyDescent="0.25"/>
  <cols>
    <col min="2" max="2" width="10.42578125" customWidth="1"/>
    <col min="3" max="3" width="25" customWidth="1"/>
    <col min="4" max="4" width="37.5703125" customWidth="1"/>
    <col min="5" max="5" width="10.7109375" bestFit="1" customWidth="1"/>
    <col min="6" max="6" width="12.28515625" bestFit="1" customWidth="1"/>
    <col min="7" max="7" width="5" bestFit="1" customWidth="1"/>
    <col min="8" max="8" width="33.5703125" bestFit="1" customWidth="1"/>
    <col min="10" max="10" width="13.28515625" customWidth="1"/>
    <col min="12" max="12" width="15.7109375" bestFit="1" customWidth="1"/>
  </cols>
  <sheetData>
    <row r="1" spans="1:10" x14ac:dyDescent="0.25">
      <c r="A1" s="51" t="s">
        <v>82</v>
      </c>
      <c r="B1" s="30">
        <v>70</v>
      </c>
      <c r="C1" s="30" t="s">
        <v>33</v>
      </c>
      <c r="D1" s="30" t="s">
        <v>52</v>
      </c>
      <c r="F1" s="40" t="s">
        <v>61</v>
      </c>
      <c r="G1" s="40"/>
      <c r="H1" s="40"/>
    </row>
    <row r="2" spans="1:10" x14ac:dyDescent="0.25">
      <c r="A2" s="51" t="s">
        <v>82</v>
      </c>
      <c r="B2" s="42">
        <v>0.21</v>
      </c>
      <c r="C2" s="30"/>
      <c r="D2" s="30" t="s">
        <v>80</v>
      </c>
      <c r="F2" s="2">
        <v>0.16</v>
      </c>
      <c r="H2" t="s">
        <v>106</v>
      </c>
      <c r="I2" s="34">
        <v>7.0000000000000007E-2</v>
      </c>
      <c r="J2" s="33" t="s">
        <v>81</v>
      </c>
    </row>
    <row r="3" spans="1:10" x14ac:dyDescent="0.25">
      <c r="A3" s="51" t="s">
        <v>82</v>
      </c>
      <c r="B3" s="45">
        <v>12.4</v>
      </c>
      <c r="C3" s="30" t="s">
        <v>45</v>
      </c>
      <c r="D3" s="46" t="s">
        <v>44</v>
      </c>
      <c r="F3" s="34" t="s">
        <v>59</v>
      </c>
      <c r="H3" t="s">
        <v>79</v>
      </c>
      <c r="I3" s="2">
        <v>0.06</v>
      </c>
    </row>
    <row r="4" spans="1:10" x14ac:dyDescent="0.25">
      <c r="A4" s="51"/>
      <c r="B4">
        <f>B3/B1*60</f>
        <v>10.62857142857143</v>
      </c>
      <c r="F4" s="39" t="s">
        <v>66</v>
      </c>
      <c r="G4" s="39"/>
      <c r="H4" s="39"/>
    </row>
    <row r="5" spans="1:10" x14ac:dyDescent="0.25">
      <c r="B5" s="18">
        <v>0.44703999999999999</v>
      </c>
      <c r="C5" s="18"/>
      <c r="D5" s="18" t="s">
        <v>83</v>
      </c>
      <c r="F5" s="28" t="s">
        <v>71</v>
      </c>
      <c r="G5" s="28" t="s">
        <v>68</v>
      </c>
      <c r="H5" s="28" t="s">
        <v>55</v>
      </c>
    </row>
    <row r="6" spans="1:10" x14ac:dyDescent="0.25">
      <c r="B6" s="18">
        <f>B1*B5</f>
        <v>31.2928</v>
      </c>
      <c r="C6" s="18" t="s">
        <v>34</v>
      </c>
      <c r="D6" s="18" t="s">
        <v>52</v>
      </c>
      <c r="F6" t="s">
        <v>78</v>
      </c>
      <c r="G6" s="28" t="s">
        <v>56</v>
      </c>
      <c r="H6" s="28" t="s">
        <v>67</v>
      </c>
    </row>
    <row r="7" spans="1:10" x14ac:dyDescent="0.25">
      <c r="B7" s="32">
        <v>1.60934</v>
      </c>
      <c r="C7" s="18" t="s">
        <v>46</v>
      </c>
      <c r="D7" s="18" t="s">
        <v>47</v>
      </c>
      <c r="F7" s="28" t="s">
        <v>72</v>
      </c>
    </row>
    <row r="8" spans="1:10" x14ac:dyDescent="0.25">
      <c r="B8" s="32">
        <f>B7*B3*1000</f>
        <v>19955.816000000003</v>
      </c>
      <c r="C8" s="18" t="s">
        <v>2</v>
      </c>
      <c r="D8" s="20" t="s">
        <v>44</v>
      </c>
      <c r="F8" s="28" t="s">
        <v>69</v>
      </c>
      <c r="G8" s="28"/>
      <c r="H8" s="28"/>
    </row>
    <row r="9" spans="1:10" x14ac:dyDescent="0.25">
      <c r="B9" s="32">
        <v>1530.8760693452841</v>
      </c>
      <c r="C9" s="18" t="s">
        <v>6</v>
      </c>
      <c r="D9" s="18" t="s">
        <v>58</v>
      </c>
      <c r="F9" s="28" t="s">
        <v>70</v>
      </c>
      <c r="G9" s="28" t="s">
        <v>54</v>
      </c>
      <c r="H9" s="28" t="s">
        <v>57</v>
      </c>
    </row>
    <row r="10" spans="1:10" x14ac:dyDescent="0.25">
      <c r="B10" s="32">
        <v>82</v>
      </c>
      <c r="C10" s="18" t="s">
        <v>6</v>
      </c>
      <c r="D10" s="18" t="s">
        <v>24</v>
      </c>
      <c r="F10" s="41">
        <f>B2*F16</f>
        <v>0.60105946565292234</v>
      </c>
      <c r="G10" s="23" t="s">
        <v>11</v>
      </c>
      <c r="H10" s="23" t="s">
        <v>60</v>
      </c>
    </row>
    <row r="11" spans="1:10" x14ac:dyDescent="0.25">
      <c r="B11" s="32">
        <f>B10+B9</f>
        <v>1612.8760693452841</v>
      </c>
      <c r="C11" s="18" t="s">
        <v>6</v>
      </c>
      <c r="D11" s="18" t="s">
        <v>7</v>
      </c>
      <c r="F11" s="17">
        <f>F10/B12</f>
        <v>9.8534338631626625E-2</v>
      </c>
      <c r="H11" s="93" t="s">
        <v>107</v>
      </c>
    </row>
    <row r="12" spans="1:10" x14ac:dyDescent="0.25">
      <c r="B12" s="32">
        <v>6.1</v>
      </c>
      <c r="C12" s="18" t="s">
        <v>11</v>
      </c>
      <c r="D12" s="18" t="s">
        <v>50</v>
      </c>
    </row>
    <row r="13" spans="1:10" x14ac:dyDescent="0.25">
      <c r="B13" s="32"/>
      <c r="C13" s="18"/>
      <c r="D13" s="18"/>
      <c r="F13" s="35">
        <f>B22</f>
        <v>6.5808039499989562E-2</v>
      </c>
      <c r="G13" t="s">
        <v>11</v>
      </c>
      <c r="H13" t="s">
        <v>86</v>
      </c>
    </row>
    <row r="14" spans="1:10" x14ac:dyDescent="0.25">
      <c r="B14" s="38" t="s">
        <v>74</v>
      </c>
      <c r="C14" s="38"/>
      <c r="D14" s="38"/>
      <c r="F14" s="35">
        <f>B32</f>
        <v>2.1460844399702133</v>
      </c>
      <c r="G14" t="s">
        <v>11</v>
      </c>
      <c r="H14" t="s">
        <v>85</v>
      </c>
    </row>
    <row r="15" spans="1:10" x14ac:dyDescent="0.25">
      <c r="B15" s="57">
        <f>0.5*B11*B6^2</f>
        <v>789695.84224320075</v>
      </c>
      <c r="C15" s="58" t="s">
        <v>35</v>
      </c>
      <c r="D15" s="58" t="s">
        <v>23</v>
      </c>
      <c r="F15" s="36">
        <f>F10</f>
        <v>0.60105946565292234</v>
      </c>
      <c r="G15" t="s">
        <v>11</v>
      </c>
      <c r="H15" t="s">
        <v>87</v>
      </c>
    </row>
    <row r="16" spans="1:10" x14ac:dyDescent="0.25">
      <c r="B16" s="57">
        <f>B15/1000</f>
        <v>789.69584224320079</v>
      </c>
      <c r="C16" s="58" t="s">
        <v>20</v>
      </c>
      <c r="D16" s="58" t="s">
        <v>22</v>
      </c>
      <c r="F16" s="37">
        <f>(1+B2)*B35</f>
        <v>2.8621879316805825</v>
      </c>
      <c r="G16" s="27" t="s">
        <v>11</v>
      </c>
      <c r="H16" s="27" t="s">
        <v>53</v>
      </c>
    </row>
    <row r="17" spans="2:8" ht="15" customHeight="1" x14ac:dyDescent="0.25">
      <c r="B17" s="59">
        <v>0.27777800000000002</v>
      </c>
      <c r="C17" s="58" t="s">
        <v>27</v>
      </c>
      <c r="D17" s="58" t="s">
        <v>21</v>
      </c>
      <c r="F17" s="26">
        <f>F16/B12</f>
        <v>0.46921113634107914</v>
      </c>
      <c r="G17" s="27"/>
      <c r="H17" s="27" t="s">
        <v>62</v>
      </c>
    </row>
    <row r="18" spans="2:8" ht="15" customHeight="1" thickBot="1" x14ac:dyDescent="0.3">
      <c r="B18" s="58"/>
      <c r="C18" s="58"/>
      <c r="D18" s="58"/>
    </row>
    <row r="19" spans="2:8" x14ac:dyDescent="0.25">
      <c r="B19" s="58">
        <f>B17*B16/1000</f>
        <v>0.21936013166663185</v>
      </c>
      <c r="C19" s="58" t="s">
        <v>11</v>
      </c>
      <c r="D19" s="58" t="s">
        <v>51</v>
      </c>
      <c r="F19" s="47">
        <f>1-F17</f>
        <v>0.53078886365892086</v>
      </c>
      <c r="G19" s="48" t="s">
        <v>77</v>
      </c>
      <c r="H19" s="49"/>
    </row>
    <row r="20" spans="2:8" x14ac:dyDescent="0.25">
      <c r="B20" s="60">
        <v>0.7</v>
      </c>
      <c r="C20" s="58"/>
      <c r="D20" s="61" t="s">
        <v>63</v>
      </c>
      <c r="F20" s="50"/>
      <c r="G20" s="50"/>
      <c r="H20" s="50"/>
    </row>
    <row r="21" spans="2:8" ht="15" customHeight="1" x14ac:dyDescent="0.4">
      <c r="B21" s="60">
        <f>1-B20</f>
        <v>0.30000000000000004</v>
      </c>
      <c r="C21" s="58"/>
      <c r="D21" s="62" t="s">
        <v>65</v>
      </c>
      <c r="E21" s="19"/>
    </row>
    <row r="22" spans="2:8" x14ac:dyDescent="0.25">
      <c r="B22" s="58">
        <f>B21*B19</f>
        <v>6.5808039499989562E-2</v>
      </c>
      <c r="C22" s="58" t="s">
        <v>11</v>
      </c>
      <c r="D22" s="58" t="s">
        <v>64</v>
      </c>
    </row>
    <row r="23" spans="2:8" x14ac:dyDescent="0.25">
      <c r="B23" s="56">
        <f>B22/B12</f>
        <v>1.07882031967196E-2</v>
      </c>
      <c r="C23" s="31" t="s">
        <v>108</v>
      </c>
      <c r="D23" s="31" t="s">
        <v>109</v>
      </c>
    </row>
    <row r="25" spans="2:8" x14ac:dyDescent="0.25">
      <c r="B25" s="52" t="s">
        <v>73</v>
      </c>
      <c r="C25" s="53"/>
      <c r="D25" s="54"/>
    </row>
    <row r="26" spans="2:8" x14ac:dyDescent="0.25">
      <c r="B26" s="55">
        <v>0.25</v>
      </c>
      <c r="C26" s="44"/>
      <c r="D26" s="44" t="s">
        <v>37</v>
      </c>
    </row>
    <row r="27" spans="2:8" x14ac:dyDescent="0.25">
      <c r="B27" s="55">
        <v>1.2250000000000001</v>
      </c>
      <c r="C27" s="44" t="s">
        <v>39</v>
      </c>
      <c r="D27" s="44" t="s">
        <v>38</v>
      </c>
    </row>
    <row r="28" spans="2:8" x14ac:dyDescent="0.25">
      <c r="B28" s="55">
        <v>1.7525999999999999</v>
      </c>
      <c r="C28" s="44" t="s">
        <v>2</v>
      </c>
      <c r="D28" s="44" t="s">
        <v>40</v>
      </c>
    </row>
    <row r="29" spans="2:8" x14ac:dyDescent="0.25">
      <c r="B29" s="55">
        <v>1.4732000000000001</v>
      </c>
      <c r="C29" s="29" t="s">
        <v>2</v>
      </c>
      <c r="D29" s="44" t="s">
        <v>41</v>
      </c>
    </row>
    <row r="30" spans="2:8" x14ac:dyDescent="0.25">
      <c r="B30" s="43">
        <f>(B27*B26*B28*B29/2)*B6^2</f>
        <v>387.15018234155514</v>
      </c>
      <c r="C30" s="44" t="s">
        <v>43</v>
      </c>
      <c r="D30" s="44" t="s">
        <v>42</v>
      </c>
    </row>
    <row r="31" spans="2:8" x14ac:dyDescent="0.25">
      <c r="B31" s="43">
        <f>B8*B30/1000</f>
        <v>7725.8978031745246</v>
      </c>
      <c r="C31" s="29" t="s">
        <v>20</v>
      </c>
      <c r="D31" s="44" t="s">
        <v>48</v>
      </c>
    </row>
    <row r="32" spans="2:8" x14ac:dyDescent="0.25">
      <c r="B32" s="43">
        <f>B31*B17/1000</f>
        <v>2.1460844399702133</v>
      </c>
      <c r="C32" s="29" t="s">
        <v>11</v>
      </c>
      <c r="D32" s="44" t="s">
        <v>49</v>
      </c>
    </row>
    <row r="33" spans="2:4" x14ac:dyDescent="0.25">
      <c r="B33" s="24">
        <f>B32/B12</f>
        <v>0.35181712130659237</v>
      </c>
      <c r="C33" s="25" t="s">
        <v>36</v>
      </c>
      <c r="D33" s="25" t="s">
        <v>48</v>
      </c>
    </row>
    <row r="35" spans="2:4" x14ac:dyDescent="0.25">
      <c r="B35" s="3">
        <f>B32+B19</f>
        <v>2.3654445716368451</v>
      </c>
      <c r="C35" t="s">
        <v>11</v>
      </c>
      <c r="D35" t="s">
        <v>75</v>
      </c>
    </row>
    <row r="36" spans="2:4" x14ac:dyDescent="0.25">
      <c r="B36" s="22">
        <f>B33+B23</f>
        <v>0.36260532450331195</v>
      </c>
      <c r="C36" s="21" t="s">
        <v>84</v>
      </c>
      <c r="D36" s="21" t="s">
        <v>76</v>
      </c>
    </row>
  </sheetData>
  <mergeCells count="6">
    <mergeCell ref="B14:D14"/>
    <mergeCell ref="F1:H1"/>
    <mergeCell ref="B25:D25"/>
    <mergeCell ref="F4:H4"/>
    <mergeCell ref="F19:F20"/>
    <mergeCell ref="G19:H20"/>
  </mergeCells>
  <hyperlinks>
    <hyperlink ref="J2" r:id="rId1" display="Avg loss of moving parts per wiki"/>
    <hyperlink ref="D20" r:id="rId2" display="KE Recovered loss"/>
  </hyperlinks>
  <pageMargins left="0.7" right="0.7" top="0.75" bottom="0.75" header="0.3" footer="0.3"/>
  <pageSetup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="115" zoomScaleNormal="115" workbookViewId="0">
      <selection activeCell="F10" sqref="F8:F10"/>
    </sheetView>
  </sheetViews>
  <sheetFormatPr defaultRowHeight="15" x14ac:dyDescent="0.25"/>
  <cols>
    <col min="1" max="1" width="8.28515625" bestFit="1" customWidth="1"/>
    <col min="2" max="2" width="15.85546875" bestFit="1" customWidth="1"/>
    <col min="3" max="3" width="5.7109375" bestFit="1" customWidth="1"/>
    <col min="4" max="4" width="14.28515625" customWidth="1"/>
    <col min="5" max="5" width="7" bestFit="1" customWidth="1"/>
    <col min="6" max="6" width="31.42578125" bestFit="1" customWidth="1"/>
    <col min="7" max="7" width="13.7109375" bestFit="1" customWidth="1"/>
    <col min="8" max="8" width="13.42578125" bestFit="1" customWidth="1"/>
    <col min="9" max="9" width="12" bestFit="1" customWidth="1"/>
    <col min="10" max="10" width="22" bestFit="1" customWidth="1"/>
    <col min="11" max="11" width="21.5703125" customWidth="1"/>
    <col min="12" max="12" width="13.140625" bestFit="1" customWidth="1"/>
  </cols>
  <sheetData>
    <row r="1" spans="1:6" x14ac:dyDescent="0.25">
      <c r="C1" t="s">
        <v>14</v>
      </c>
      <c r="D1" s="15" t="s">
        <v>30</v>
      </c>
      <c r="E1" s="16"/>
      <c r="F1" s="16"/>
    </row>
    <row r="2" spans="1:6" x14ac:dyDescent="0.25">
      <c r="A2">
        <v>5700</v>
      </c>
      <c r="B2" t="s">
        <v>1</v>
      </c>
      <c r="C2" t="s">
        <v>3</v>
      </c>
      <c r="D2" s="3">
        <f>A2/3.28084</f>
        <v>1737.3599444044819</v>
      </c>
      <c r="E2" t="s">
        <v>2</v>
      </c>
      <c r="F2" t="s">
        <v>16</v>
      </c>
    </row>
    <row r="3" spans="1:6" x14ac:dyDescent="0.25">
      <c r="A3">
        <v>1300</v>
      </c>
      <c r="B3" t="s">
        <v>0</v>
      </c>
      <c r="C3" t="s">
        <v>3</v>
      </c>
      <c r="D3" s="3">
        <f>A3/3.28084</f>
        <v>396.23998732032038</v>
      </c>
      <c r="E3" t="s">
        <v>2</v>
      </c>
      <c r="F3" t="s">
        <v>17</v>
      </c>
    </row>
    <row r="4" spans="1:6" x14ac:dyDescent="0.25">
      <c r="A4" s="3">
        <f>A2-A3</f>
        <v>4400</v>
      </c>
      <c r="B4" t="s">
        <v>8</v>
      </c>
      <c r="C4" t="s">
        <v>3</v>
      </c>
      <c r="D4" s="3">
        <f>D2-D3</f>
        <v>1341.1199570841616</v>
      </c>
      <c r="E4" t="s">
        <v>2</v>
      </c>
      <c r="F4" t="s">
        <v>18</v>
      </c>
    </row>
    <row r="5" spans="1:6" x14ac:dyDescent="0.25">
      <c r="D5" s="3">
        <v>9.8070000000000004</v>
      </c>
      <c r="E5" t="s">
        <v>9</v>
      </c>
      <c r="F5" t="s">
        <v>10</v>
      </c>
    </row>
    <row r="6" spans="1:6" x14ac:dyDescent="0.25">
      <c r="D6" s="3"/>
    </row>
    <row r="7" spans="1:6" x14ac:dyDescent="0.25">
      <c r="A7" s="1">
        <v>3375</v>
      </c>
      <c r="B7" t="s">
        <v>4</v>
      </c>
      <c r="C7" t="s">
        <v>5</v>
      </c>
      <c r="D7" s="3">
        <f>A7/2.20462</f>
        <v>1530.8760693452841</v>
      </c>
      <c r="E7" t="s">
        <v>6</v>
      </c>
      <c r="F7" t="s">
        <v>4</v>
      </c>
    </row>
    <row r="8" spans="1:6" x14ac:dyDescent="0.25">
      <c r="A8">
        <v>300</v>
      </c>
      <c r="B8" t="s">
        <v>26</v>
      </c>
      <c r="C8" t="s">
        <v>5</v>
      </c>
      <c r="D8" s="3">
        <f>A8/2.20462</f>
        <v>136.07787283069192</v>
      </c>
      <c r="E8" t="s">
        <v>6</v>
      </c>
      <c r="F8" t="s">
        <v>24</v>
      </c>
    </row>
    <row r="9" spans="1:6" x14ac:dyDescent="0.25">
      <c r="A9">
        <v>100</v>
      </c>
      <c r="B9" t="s">
        <v>13</v>
      </c>
      <c r="C9" t="s">
        <v>5</v>
      </c>
      <c r="D9" s="3">
        <f>A9/2.20462</f>
        <v>45.359290943563977</v>
      </c>
      <c r="E9" t="s">
        <v>6</v>
      </c>
      <c r="F9" t="s">
        <v>25</v>
      </c>
    </row>
    <row r="10" spans="1:6" x14ac:dyDescent="0.25">
      <c r="D10" s="3">
        <f>D9+D8+D7</f>
        <v>1712.31323311954</v>
      </c>
      <c r="E10" t="s">
        <v>6</v>
      </c>
      <c r="F10" t="s">
        <v>7</v>
      </c>
    </row>
    <row r="12" spans="1:6" x14ac:dyDescent="0.25">
      <c r="D12" s="14" t="s">
        <v>29</v>
      </c>
      <c r="E12" s="14"/>
      <c r="F12" s="14"/>
    </row>
    <row r="13" spans="1:6" x14ac:dyDescent="0.25">
      <c r="D13" s="3">
        <f>D4*D5*D10</f>
        <v>22520965.929364022</v>
      </c>
      <c r="E13" t="s">
        <v>19</v>
      </c>
      <c r="F13" t="s">
        <v>23</v>
      </c>
    </row>
    <row r="14" spans="1:6" x14ac:dyDescent="0.25">
      <c r="D14" s="3">
        <f>D13/1000</f>
        <v>22520.965929364022</v>
      </c>
      <c r="E14" t="s">
        <v>20</v>
      </c>
      <c r="F14" t="s">
        <v>22</v>
      </c>
    </row>
    <row r="15" spans="1:6" x14ac:dyDescent="0.25">
      <c r="D15" s="5">
        <v>0.27777800000000002</v>
      </c>
      <c r="E15" t="s">
        <v>27</v>
      </c>
      <c r="F15" t="s">
        <v>21</v>
      </c>
    </row>
    <row r="16" spans="1:6" x14ac:dyDescent="0.25">
      <c r="D16" s="5"/>
    </row>
    <row r="17" spans="4:6" x14ac:dyDescent="0.25">
      <c r="D17" s="6">
        <f>D14*D15/1000</f>
        <v>6.2558288739268804</v>
      </c>
      <c r="E17" s="7" t="s">
        <v>11</v>
      </c>
      <c r="F17" s="7" t="s">
        <v>15</v>
      </c>
    </row>
    <row r="18" spans="4:6" x14ac:dyDescent="0.25">
      <c r="D18" s="11">
        <v>3.22</v>
      </c>
      <c r="E18" s="12" t="s">
        <v>11</v>
      </c>
      <c r="F18" s="12" t="s">
        <v>28</v>
      </c>
    </row>
    <row r="20" spans="4:6" x14ac:dyDescent="0.25">
      <c r="D20" s="13">
        <f>D17-D18</f>
        <v>3.0358288739268802</v>
      </c>
      <c r="E20" s="10" t="s">
        <v>11</v>
      </c>
      <c r="F20" s="10" t="s">
        <v>31</v>
      </c>
    </row>
    <row r="21" spans="4:6" x14ac:dyDescent="0.25">
      <c r="D21" s="8">
        <f>D18/D17</f>
        <v>0.51471996195745628</v>
      </c>
      <c r="E21" s="9"/>
      <c r="F21" s="9" t="s">
        <v>12</v>
      </c>
    </row>
    <row r="22" spans="4:6" x14ac:dyDescent="0.25">
      <c r="D22" s="4"/>
    </row>
    <row r="23" spans="4:6" x14ac:dyDescent="0.25">
      <c r="D23" s="3">
        <v>6.4</v>
      </c>
      <c r="E23" t="s">
        <v>11</v>
      </c>
      <c r="F23" t="s">
        <v>32</v>
      </c>
    </row>
    <row r="24" spans="4:6" x14ac:dyDescent="0.25">
      <c r="D24" s="2"/>
    </row>
  </sheetData>
  <mergeCells count="2">
    <mergeCell ref="D12:F12"/>
    <mergeCell ref="D1:F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workbookViewId="0">
      <selection activeCell="P25" sqref="P25"/>
    </sheetView>
  </sheetViews>
  <sheetFormatPr defaultRowHeight="15" x14ac:dyDescent="0.25"/>
  <cols>
    <col min="2" max="2" width="16.140625" bestFit="1" customWidth="1"/>
    <col min="3" max="3" width="9.85546875" bestFit="1" customWidth="1"/>
    <col min="4" max="4" width="10.5703125" bestFit="1" customWidth="1"/>
    <col min="7" max="7" width="10.5703125" bestFit="1" customWidth="1"/>
    <col min="8" max="8" width="15.7109375" bestFit="1" customWidth="1"/>
    <col min="9" max="9" width="12" customWidth="1"/>
    <col min="10" max="10" width="11.28515625" customWidth="1"/>
    <col min="11" max="12" width="9" style="63" customWidth="1"/>
    <col min="13" max="13" width="10.85546875" style="63" customWidth="1"/>
    <col min="14" max="14" width="11.42578125" style="63" customWidth="1"/>
  </cols>
  <sheetData>
    <row r="1" spans="1:14" ht="30" x14ac:dyDescent="0.25">
      <c r="A1" s="92" t="s">
        <v>105</v>
      </c>
      <c r="B1" s="91"/>
      <c r="D1" s="90" t="s">
        <v>104</v>
      </c>
      <c r="E1" s="89"/>
      <c r="F1" s="64"/>
      <c r="G1" s="88" t="s">
        <v>103</v>
      </c>
      <c r="H1" s="87"/>
      <c r="J1" s="86" t="s">
        <v>102</v>
      </c>
      <c r="K1" s="85" t="s">
        <v>101</v>
      </c>
      <c r="L1" s="85" t="s">
        <v>100</v>
      </c>
      <c r="M1" s="85" t="s">
        <v>99</v>
      </c>
      <c r="N1" s="85" t="s">
        <v>98</v>
      </c>
    </row>
    <row r="2" spans="1:14" x14ac:dyDescent="0.25">
      <c r="A2" s="84">
        <v>0.2</v>
      </c>
      <c r="B2" s="83" t="s">
        <v>97</v>
      </c>
      <c r="D2" s="82">
        <v>23</v>
      </c>
      <c r="E2" s="75" t="s">
        <v>96</v>
      </c>
      <c r="G2" s="81">
        <v>54</v>
      </c>
      <c r="H2" s="73" t="s">
        <v>96</v>
      </c>
      <c r="J2" s="64">
        <v>1</v>
      </c>
      <c r="K2" s="63">
        <f>IF(J2&lt;G$3,(J2/A$4*A$2),((G$3/A$4)*A$2)+((J2-G$3)/G$2*A$3))</f>
        <v>4.0816326530612242E-2</v>
      </c>
      <c r="L2" s="63">
        <f>Table1[[#This Row],[Miles
per Day]]/D$2*A$3</f>
        <v>0.15652173913043479</v>
      </c>
      <c r="M2" s="63">
        <f>Table1[[#This Row],[Prime
Cost]]*261</f>
        <v>10.653061224489795</v>
      </c>
      <c r="N2" s="63">
        <f>Table1[[#This Row],[Regular
Cost]]*261</f>
        <v>40.85217391304348</v>
      </c>
    </row>
    <row r="3" spans="1:14" x14ac:dyDescent="0.25">
      <c r="A3" s="84">
        <v>3.6</v>
      </c>
      <c r="B3" s="83" t="s">
        <v>95</v>
      </c>
      <c r="D3" s="82"/>
      <c r="E3" s="75"/>
      <c r="G3" s="81">
        <f>A6*A4</f>
        <v>29.400000000000002</v>
      </c>
      <c r="H3" s="73" t="s">
        <v>94</v>
      </c>
      <c r="J3" s="64">
        <v>2</v>
      </c>
      <c r="K3" s="63">
        <f>IF(J3&lt;G$3,(J3/A$4*A$2),((G$3/A$4)*A$2)+((J3-G$3)/G$2*A$3))</f>
        <v>8.1632653061224483E-2</v>
      </c>
      <c r="L3" s="63">
        <f>Table1[[#This Row],[Miles
per Day]]/D$2*A$3</f>
        <v>0.31304347826086959</v>
      </c>
      <c r="M3" s="63">
        <f>Table1[[#This Row],[Prime
Cost]]*261</f>
        <v>21.30612244897959</v>
      </c>
      <c r="N3" s="63">
        <f>Table1[[#This Row],[Regular
Cost]]*261</f>
        <v>81.704347826086959</v>
      </c>
    </row>
    <row r="4" spans="1:14" x14ac:dyDescent="0.25">
      <c r="A4" s="80">
        <v>4.9000000000000004</v>
      </c>
      <c r="B4" s="79" t="s">
        <v>93</v>
      </c>
      <c r="D4" s="82"/>
      <c r="E4" s="75"/>
      <c r="G4" s="81"/>
      <c r="H4" s="73"/>
      <c r="J4" s="64">
        <v>3</v>
      </c>
      <c r="K4" s="63">
        <f>IF(J4&lt;G$3,(J4/A$4*A$2),((G$3/A$4)*A$2)+((J4-G$3)/G$2*A$3))</f>
        <v>0.12244897959183672</v>
      </c>
      <c r="L4" s="63">
        <f>Table1[[#This Row],[Miles
per Day]]/D$2*A$3</f>
        <v>0.46956521739130436</v>
      </c>
      <c r="M4" s="63">
        <f>Table1[[#This Row],[Prime
Cost]]*261</f>
        <v>31.959183673469383</v>
      </c>
      <c r="N4" s="63">
        <f>Table1[[#This Row],[Regular
Cost]]*261</f>
        <v>122.55652173913043</v>
      </c>
    </row>
    <row r="5" spans="1:14" x14ac:dyDescent="0.25">
      <c r="A5" s="80">
        <v>28</v>
      </c>
      <c r="B5" s="79" t="s">
        <v>92</v>
      </c>
      <c r="D5" s="76">
        <f>(A5/D2)*A3</f>
        <v>4.3826086956521744</v>
      </c>
      <c r="E5" s="75" t="s">
        <v>91</v>
      </c>
      <c r="G5" s="74">
        <f>IF(A5&lt;G3,(A5/A4*A2),((G3/A$4)*A$2)+((A5-G$3)/G$2)*A$3)</f>
        <v>1.1428571428571428</v>
      </c>
      <c r="H5" s="73" t="s">
        <v>91</v>
      </c>
      <c r="J5" s="64">
        <v>4</v>
      </c>
      <c r="K5" s="63">
        <f>IF(J5&lt;G$3,(J5/A$4*A$2),((G$3/A$4)*A$2)+((J5-G$3)/G$2*A$3))</f>
        <v>0.16326530612244897</v>
      </c>
      <c r="L5" s="63">
        <f>Table1[[#This Row],[Miles
per Day]]/D$2*A$3</f>
        <v>0.62608695652173918</v>
      </c>
      <c r="M5" s="63">
        <f>Table1[[#This Row],[Prime
Cost]]*261</f>
        <v>42.612244897959179</v>
      </c>
      <c r="N5" s="63">
        <f>Table1[[#This Row],[Regular
Cost]]*261</f>
        <v>163.40869565217392</v>
      </c>
    </row>
    <row r="6" spans="1:14" ht="15.75" thickBot="1" x14ac:dyDescent="0.3">
      <c r="A6" s="78">
        <v>6</v>
      </c>
      <c r="B6" s="77" t="s">
        <v>90</v>
      </c>
      <c r="D6" s="76">
        <f>D5*7</f>
        <v>30.678260869565221</v>
      </c>
      <c r="E6" s="75" t="s">
        <v>89</v>
      </c>
      <c r="G6" s="74">
        <f>G5*7</f>
        <v>8</v>
      </c>
      <c r="H6" s="73" t="s">
        <v>89</v>
      </c>
      <c r="J6" s="64">
        <v>5</v>
      </c>
      <c r="K6" s="63">
        <f>IF(J6&lt;G$3,(J6/A$4*A$2),((G$3/A$4)*A$2)+((J6-G$3)/G$2*A$3))</f>
        <v>0.20408163265306123</v>
      </c>
      <c r="L6" s="63">
        <f>Table1[[#This Row],[Miles
per Day]]/D$2*A$3</f>
        <v>0.78260869565217395</v>
      </c>
      <c r="M6" s="63">
        <f>Table1[[#This Row],[Prime
Cost]]*261</f>
        <v>53.265306122448983</v>
      </c>
      <c r="N6" s="63">
        <f>Table1[[#This Row],[Regular
Cost]]*261</f>
        <v>204.2608695652174</v>
      </c>
    </row>
    <row r="7" spans="1:14" ht="15.75" thickBot="1" x14ac:dyDescent="0.3">
      <c r="D7" s="72">
        <f>D6*52.1429</f>
        <v>1599.6534886956524</v>
      </c>
      <c r="E7" s="71" t="s">
        <v>88</v>
      </c>
      <c r="G7" s="70">
        <f>G6*52.1429</f>
        <v>417.14319999999998</v>
      </c>
      <c r="H7" s="69" t="s">
        <v>88</v>
      </c>
      <c r="J7" s="64">
        <v>6</v>
      </c>
      <c r="K7" s="63">
        <f>IF(J7&lt;G$3,(J7/A$4*A$2),((G$3/A$4)*A$2)+((J7-G$3)/G$2*A$3))</f>
        <v>0.24489795918367344</v>
      </c>
      <c r="L7" s="63">
        <f>Table1[[#This Row],[Miles
per Day]]/D$2*A$3</f>
        <v>0.93913043478260871</v>
      </c>
      <c r="M7" s="63">
        <f>Table1[[#This Row],[Prime
Cost]]*261</f>
        <v>63.918367346938766</v>
      </c>
      <c r="N7" s="63">
        <f>Table1[[#This Row],[Regular
Cost]]*261</f>
        <v>245.11304347826086</v>
      </c>
    </row>
    <row r="8" spans="1:14" x14ac:dyDescent="0.25">
      <c r="G8" s="63"/>
      <c r="J8" s="64">
        <v>7</v>
      </c>
      <c r="K8" s="63">
        <f>IF(J8&lt;G$3,(J8/A$4*A$2),((G$3/A$4)*A$2)+((J8-G$3)/G$2*A$3))</f>
        <v>0.2857142857142857</v>
      </c>
      <c r="L8" s="63">
        <f>Table1[[#This Row],[Miles
per Day]]/D$2*A$3</f>
        <v>1.0956521739130436</v>
      </c>
      <c r="M8" s="63">
        <f>Table1[[#This Row],[Prime
Cost]]*261</f>
        <v>74.571428571428569</v>
      </c>
      <c r="N8" s="63">
        <f>Table1[[#This Row],[Regular
Cost]]*261</f>
        <v>285.96521739130435</v>
      </c>
    </row>
    <row r="9" spans="1:14" x14ac:dyDescent="0.25">
      <c r="J9" s="64">
        <v>8</v>
      </c>
      <c r="K9" s="63">
        <f>IF(J9&lt;G$3,(J9/A$4*A$2),((G$3/A$4)*A$2)+((J9-G$3)/G$2*A$3))</f>
        <v>0.32653061224489793</v>
      </c>
      <c r="L9" s="63">
        <f>Table1[[#This Row],[Miles
per Day]]/D$2*A$3</f>
        <v>1.2521739130434784</v>
      </c>
      <c r="M9" s="63">
        <f>Table1[[#This Row],[Prime
Cost]]*261</f>
        <v>85.224489795918359</v>
      </c>
      <c r="N9" s="63">
        <f>Table1[[#This Row],[Regular
Cost]]*261</f>
        <v>326.81739130434784</v>
      </c>
    </row>
    <row r="10" spans="1:14" x14ac:dyDescent="0.25">
      <c r="J10" s="64">
        <v>9</v>
      </c>
      <c r="K10" s="63">
        <f>IF(J10&lt;G$3,(J10/A$4*A$2),((G$3/A$4)*A$2)+((J10-G$3)/G$2*A$3))</f>
        <v>0.36734693877551017</v>
      </c>
      <c r="L10" s="63">
        <f>Table1[[#This Row],[Miles
per Day]]/D$2*A$3</f>
        <v>1.4086956521739131</v>
      </c>
      <c r="M10" s="63">
        <f>Table1[[#This Row],[Prime
Cost]]*261</f>
        <v>95.877551020408148</v>
      </c>
      <c r="N10" s="63">
        <f>Table1[[#This Row],[Regular
Cost]]*261</f>
        <v>367.66956521739132</v>
      </c>
    </row>
    <row r="11" spans="1:14" x14ac:dyDescent="0.25">
      <c r="J11" s="64">
        <v>10</v>
      </c>
      <c r="K11" s="63">
        <f>IF(J11&lt;G$3,(J11/A$4*A$2),((G$3/A$4)*A$2)+((J11-G$3)/G$2*A$3))</f>
        <v>0.40816326530612246</v>
      </c>
      <c r="L11" s="63">
        <f>Table1[[#This Row],[Miles
per Day]]/D$2*A$3</f>
        <v>1.5652173913043479</v>
      </c>
      <c r="M11" s="63">
        <f>Table1[[#This Row],[Prime
Cost]]*261</f>
        <v>106.53061224489797</v>
      </c>
      <c r="N11" s="63">
        <f>Table1[[#This Row],[Regular
Cost]]*261</f>
        <v>408.52173913043481</v>
      </c>
    </row>
    <row r="12" spans="1:14" x14ac:dyDescent="0.25">
      <c r="J12" s="64">
        <v>11</v>
      </c>
      <c r="K12" s="63">
        <f>IF(J12&lt;G$3,(J12/A$4*A$2),((G$3/A$4)*A$2)+((J12-G$3)/G$2*A$3))</f>
        <v>0.44897959183673469</v>
      </c>
      <c r="L12" s="63">
        <f>Table1[[#This Row],[Miles
per Day]]/D$2*A$3</f>
        <v>1.7217391304347827</v>
      </c>
      <c r="M12" s="63">
        <f>Table1[[#This Row],[Prime
Cost]]*261</f>
        <v>117.18367346938776</v>
      </c>
      <c r="N12" s="63">
        <f>Table1[[#This Row],[Regular
Cost]]*261</f>
        <v>449.3739130434783</v>
      </c>
    </row>
    <row r="13" spans="1:14" x14ac:dyDescent="0.25">
      <c r="J13" s="64">
        <v>12</v>
      </c>
      <c r="K13" s="63">
        <f>IF(J13&lt;G$3,(J13/A$4*A$2),((G$3/A$4)*A$2)+((J13-G$3)/G$2*A$3))</f>
        <v>0.48979591836734687</v>
      </c>
      <c r="L13" s="63">
        <f>Table1[[#This Row],[Miles
per Day]]/D$2*A$3</f>
        <v>1.8782608695652174</v>
      </c>
      <c r="M13" s="63">
        <f>Table1[[#This Row],[Prime
Cost]]*261</f>
        <v>127.83673469387753</v>
      </c>
      <c r="N13" s="63">
        <f>Table1[[#This Row],[Regular
Cost]]*261</f>
        <v>490.22608695652173</v>
      </c>
    </row>
    <row r="14" spans="1:14" x14ac:dyDescent="0.25">
      <c r="J14" s="64">
        <v>13</v>
      </c>
      <c r="K14" s="63">
        <f>IF(J14&lt;G$3,(J14/A$4*A$2),((G$3/A$4)*A$2)+((J14-G$3)/G$2*A$3))</f>
        <v>0.53061224489795922</v>
      </c>
      <c r="L14" s="63">
        <f>Table1[[#This Row],[Miles
per Day]]/D$2*A$3</f>
        <v>2.034782608695652</v>
      </c>
      <c r="M14" s="63">
        <f>Table1[[#This Row],[Prime
Cost]]*261</f>
        <v>138.48979591836735</v>
      </c>
      <c r="N14" s="63">
        <f>Table1[[#This Row],[Regular
Cost]]*261</f>
        <v>531.07826086956516</v>
      </c>
    </row>
    <row r="15" spans="1:14" x14ac:dyDescent="0.25">
      <c r="J15" s="68">
        <v>14</v>
      </c>
      <c r="K15" s="67">
        <f>IF(J15&lt;G$3,(J15/A$4*A$2),((G$3/A$4)*A$2)+((J15-G$3)/G$2*A$3))</f>
        <v>0.5714285714285714</v>
      </c>
      <c r="L15" s="67">
        <f>Table1[[#This Row],[Miles
per Day]]/D$2*A$3</f>
        <v>2.1913043478260872</v>
      </c>
      <c r="M15" s="67">
        <f>Table1[[#This Row],[Prime
Cost]]*261</f>
        <v>149.14285714285714</v>
      </c>
      <c r="N15" s="67">
        <f>Table1[[#This Row],[Regular
Cost]]*261</f>
        <v>571.9304347826087</v>
      </c>
    </row>
    <row r="16" spans="1:14" x14ac:dyDescent="0.25">
      <c r="J16" s="64">
        <v>15</v>
      </c>
      <c r="K16" s="63">
        <f>IF(J16&lt;G$3,(J16/A$4*A$2),((G$3/A$4)*A$2)+((J16-G$3)/G$2*A$3))</f>
        <v>0.61224489795918369</v>
      </c>
      <c r="L16" s="63">
        <f>Table1[[#This Row],[Miles
per Day]]/D$2*A$3</f>
        <v>2.347826086956522</v>
      </c>
      <c r="M16" s="63">
        <f>Table1[[#This Row],[Prime
Cost]]*261</f>
        <v>159.79591836734693</v>
      </c>
      <c r="N16" s="63">
        <f>Table1[[#This Row],[Regular
Cost]]*261</f>
        <v>612.78260869565224</v>
      </c>
    </row>
    <row r="17" spans="10:14" x14ac:dyDescent="0.25">
      <c r="J17" s="64">
        <v>16</v>
      </c>
      <c r="K17" s="63">
        <f>IF(J17&lt;G$3,(J17/A$4*A$2),((G$3/A$4)*A$2)+((J17-G$3)/G$2*A$3))</f>
        <v>0.65306122448979587</v>
      </c>
      <c r="L17" s="63">
        <f>Table1[[#This Row],[Miles
per Day]]/D$2*A$3</f>
        <v>2.5043478260869567</v>
      </c>
      <c r="M17" s="63">
        <f>Table1[[#This Row],[Prime
Cost]]*261</f>
        <v>170.44897959183672</v>
      </c>
      <c r="N17" s="63">
        <f>Table1[[#This Row],[Regular
Cost]]*261</f>
        <v>653.63478260869567</v>
      </c>
    </row>
    <row r="18" spans="10:14" x14ac:dyDescent="0.25">
      <c r="J18" s="64">
        <v>17</v>
      </c>
      <c r="K18" s="63">
        <f>IF(J18&lt;G$3,(J18/A$4*A$2),((G$3/A$4)*A$2)+((J18-G$3)/G$2*A$3))</f>
        <v>0.69387755102040816</v>
      </c>
      <c r="L18" s="63">
        <f>Table1[[#This Row],[Miles
per Day]]/D$2*A$3</f>
        <v>2.660869565217391</v>
      </c>
      <c r="M18" s="63">
        <f>Table1[[#This Row],[Prime
Cost]]*261</f>
        <v>181.10204081632654</v>
      </c>
      <c r="N18" s="63">
        <f>Table1[[#This Row],[Regular
Cost]]*261</f>
        <v>694.4869565217391</v>
      </c>
    </row>
    <row r="19" spans="10:14" x14ac:dyDescent="0.25">
      <c r="J19" s="64">
        <v>18</v>
      </c>
      <c r="K19" s="63">
        <f>IF(J19&lt;G$3,(J19/A$4*A$2),((G$3/A$4)*A$2)+((J19-G$3)/G$2*A$3))</f>
        <v>0.73469387755102034</v>
      </c>
      <c r="L19" s="63">
        <f>Table1[[#This Row],[Miles
per Day]]/D$2*A$3</f>
        <v>2.8173913043478263</v>
      </c>
      <c r="M19" s="63">
        <f>Table1[[#This Row],[Prime
Cost]]*261</f>
        <v>191.7551020408163</v>
      </c>
      <c r="N19" s="63">
        <f>Table1[[#This Row],[Regular
Cost]]*261</f>
        <v>735.33913043478265</v>
      </c>
    </row>
    <row r="20" spans="10:14" x14ac:dyDescent="0.25">
      <c r="J20" s="64">
        <v>19</v>
      </c>
      <c r="K20" s="63">
        <f>IF(J20&lt;G$3,(J20/A$4*A$2),((G$3/A$4)*A$2)+((J20-G$3)/G$2*A$3))</f>
        <v>0.77551020408163263</v>
      </c>
      <c r="L20" s="63">
        <f>Table1[[#This Row],[Miles
per Day]]/D$2*A$3</f>
        <v>2.973913043478261</v>
      </c>
      <c r="M20" s="63">
        <f>Table1[[#This Row],[Prime
Cost]]*261</f>
        <v>202.40816326530611</v>
      </c>
      <c r="N20" s="63">
        <f>Table1[[#This Row],[Regular
Cost]]*261</f>
        <v>776.19130434782608</v>
      </c>
    </row>
    <row r="21" spans="10:14" x14ac:dyDescent="0.25">
      <c r="J21" s="64">
        <v>20</v>
      </c>
      <c r="K21" s="63">
        <f>IF(J21&lt;G$3,(J21/A$4*A$2),((G$3/A$4)*A$2)+((J21-G$3)/G$2*A$3))</f>
        <v>0.81632653061224492</v>
      </c>
      <c r="L21" s="63">
        <f>Table1[[#This Row],[Miles
per Day]]/D$2*A$3</f>
        <v>3.1304347826086958</v>
      </c>
      <c r="M21" s="63">
        <f>Table1[[#This Row],[Prime
Cost]]*261</f>
        <v>213.06122448979593</v>
      </c>
      <c r="N21" s="63">
        <f>Table1[[#This Row],[Regular
Cost]]*261</f>
        <v>817.04347826086962</v>
      </c>
    </row>
    <row r="22" spans="10:14" x14ac:dyDescent="0.25">
      <c r="J22" s="64">
        <v>21</v>
      </c>
      <c r="K22" s="63">
        <f>IF(J22&lt;G$3,(J22/A$4*A$2),((G$3/A$4)*A$2)+((J22-G$3)/G$2*A$3))</f>
        <v>0.85714285714285721</v>
      </c>
      <c r="L22" s="63">
        <f>Table1[[#This Row],[Miles
per Day]]/D$2*A$3</f>
        <v>3.2869565217391301</v>
      </c>
      <c r="M22" s="63">
        <f>Table1[[#This Row],[Prime
Cost]]*261</f>
        <v>223.71428571428572</v>
      </c>
      <c r="N22" s="63">
        <f>Table1[[#This Row],[Regular
Cost]]*261</f>
        <v>857.89565217391294</v>
      </c>
    </row>
    <row r="23" spans="10:14" x14ac:dyDescent="0.25">
      <c r="J23" s="64">
        <v>22</v>
      </c>
      <c r="K23" s="63">
        <f>IF(J23&lt;G$3,(J23/A$4*A$2),((G$3/A$4)*A$2)+((J23-G$3)/G$2*A$3))</f>
        <v>0.89795918367346939</v>
      </c>
      <c r="L23" s="63">
        <f>Table1[[#This Row],[Miles
per Day]]/D$2*A$3</f>
        <v>3.4434782608695653</v>
      </c>
      <c r="M23" s="63">
        <f>Table1[[#This Row],[Prime
Cost]]*261</f>
        <v>234.36734693877551</v>
      </c>
      <c r="N23" s="63">
        <f>Table1[[#This Row],[Regular
Cost]]*261</f>
        <v>898.74782608695659</v>
      </c>
    </row>
    <row r="24" spans="10:14" x14ac:dyDescent="0.25">
      <c r="J24" s="64">
        <v>23</v>
      </c>
      <c r="K24" s="63">
        <f>IF(J24&lt;G$3,(J24/A$4*A$2),((G$3/A$4)*A$2)+((J24-G$3)/G$2*A$3))</f>
        <v>0.93877551020408156</v>
      </c>
      <c r="L24" s="63">
        <f>Table1[[#This Row],[Miles
per Day]]/D$2*A$3</f>
        <v>3.6</v>
      </c>
      <c r="M24" s="63">
        <f>Table1[[#This Row],[Prime
Cost]]*261</f>
        <v>245.0204081632653</v>
      </c>
      <c r="N24" s="63">
        <f>Table1[[#This Row],[Regular
Cost]]*261</f>
        <v>939.6</v>
      </c>
    </row>
    <row r="25" spans="10:14" x14ac:dyDescent="0.25">
      <c r="J25" s="64">
        <v>24</v>
      </c>
      <c r="K25" s="63">
        <f>IF(J25&lt;G$3,(J25/A$4*A$2),((G$3/A$4)*A$2)+((J25-G$3)/G$2*A$3))</f>
        <v>0.97959183673469374</v>
      </c>
      <c r="L25" s="63">
        <f>Table1[[#This Row],[Miles
per Day]]/D$2*A$3</f>
        <v>3.7565217391304349</v>
      </c>
      <c r="M25" s="63">
        <f>Table1[[#This Row],[Prime
Cost]]*261</f>
        <v>255.67346938775506</v>
      </c>
      <c r="N25" s="63">
        <f>Table1[[#This Row],[Regular
Cost]]*261</f>
        <v>980.45217391304345</v>
      </c>
    </row>
    <row r="26" spans="10:14" x14ac:dyDescent="0.25">
      <c r="J26" s="64">
        <v>25</v>
      </c>
      <c r="K26" s="63">
        <f>IF(J26&lt;G$3,(J26/A$4*A$2),((G$3/A$4)*A$2)+((J26-G$3)/G$2*A$3))</f>
        <v>1.0204081632653061</v>
      </c>
      <c r="L26" s="63">
        <f>Table1[[#This Row],[Miles
per Day]]/D$2*A$3</f>
        <v>3.9130434782608696</v>
      </c>
      <c r="M26" s="63">
        <f>Table1[[#This Row],[Prime
Cost]]*261</f>
        <v>266.32653061224488</v>
      </c>
      <c r="N26" s="63">
        <f>Table1[[#This Row],[Regular
Cost]]*261</f>
        <v>1021.304347826087</v>
      </c>
    </row>
    <row r="27" spans="10:14" x14ac:dyDescent="0.25">
      <c r="J27" s="64">
        <v>26</v>
      </c>
      <c r="K27" s="63">
        <f>IF(J27&lt;G$3,(J27/A$4*A$2),((G$3/A$4)*A$2)+((J27-G$3)/G$2*A$3))</f>
        <v>1.0612244897959184</v>
      </c>
      <c r="L27" s="63">
        <f>Table1[[#This Row],[Miles
per Day]]/D$2*A$3</f>
        <v>4.0695652173913039</v>
      </c>
      <c r="M27" s="63">
        <f>Table1[[#This Row],[Prime
Cost]]*261</f>
        <v>276.9795918367347</v>
      </c>
      <c r="N27" s="63">
        <f>Table1[[#This Row],[Regular
Cost]]*261</f>
        <v>1062.1565217391303</v>
      </c>
    </row>
    <row r="28" spans="10:14" x14ac:dyDescent="0.25">
      <c r="J28" s="64">
        <v>27</v>
      </c>
      <c r="K28" s="63">
        <f>IF(J28&lt;G$3,(J28/A$4*A$2),((G$3/A$4)*A$2)+((J28-G$3)/G$2*A$3))</f>
        <v>1.1020408163265305</v>
      </c>
      <c r="L28" s="63">
        <f>Table1[[#This Row],[Miles
per Day]]/D$2*A$3</f>
        <v>4.2260869565217396</v>
      </c>
      <c r="M28" s="63">
        <f>Table1[[#This Row],[Prime
Cost]]*261</f>
        <v>287.63265306122446</v>
      </c>
      <c r="N28" s="63">
        <f>Table1[[#This Row],[Regular
Cost]]*261</f>
        <v>1103.0086956521741</v>
      </c>
    </row>
    <row r="29" spans="10:14" x14ac:dyDescent="0.25">
      <c r="J29" s="66">
        <v>28</v>
      </c>
      <c r="K29" s="65">
        <f>IF(J29&lt;G$3,(J29/A$4*A$2),((G$3/A$4)*A$2)+((J29-G$3)/G$2*A$3))</f>
        <v>1.1428571428571428</v>
      </c>
      <c r="L29" s="65">
        <f>Table1[[#This Row],[Miles
per Day]]/D$2*A$3</f>
        <v>4.3826086956521744</v>
      </c>
      <c r="M29" s="65">
        <f>Table1[[#This Row],[Prime
Cost]]*261</f>
        <v>298.28571428571428</v>
      </c>
      <c r="N29" s="65">
        <f>Table1[[#This Row],[Regular
Cost]]*261</f>
        <v>1143.8608695652174</v>
      </c>
    </row>
    <row r="30" spans="10:14" x14ac:dyDescent="0.25">
      <c r="J30" s="64">
        <v>29</v>
      </c>
      <c r="K30" s="63">
        <f>IF(J30&lt;G$3,(J30/A$4*A$2),((G$3/A$4)*A$2)+((J30-G$3)/G$2*A$3))</f>
        <v>1.1836734693877551</v>
      </c>
      <c r="L30" s="63">
        <f>Table1[[#This Row],[Miles
per Day]]/D$2*A$3</f>
        <v>4.5391304347826091</v>
      </c>
      <c r="M30" s="63">
        <f>Table1[[#This Row],[Prime
Cost]]*261</f>
        <v>308.9387755102041</v>
      </c>
      <c r="N30" s="63">
        <f>Table1[[#This Row],[Regular
Cost]]*261</f>
        <v>1184.7130434782609</v>
      </c>
    </row>
    <row r="31" spans="10:14" x14ac:dyDescent="0.25">
      <c r="J31" s="64">
        <v>30</v>
      </c>
      <c r="K31" s="63">
        <f>IF(J31&lt;G$3,(J31/A$4*A$2),((G$3/A$4)*A$2)+((J31-G$3)/G$2*A$3))</f>
        <v>1.24</v>
      </c>
      <c r="L31" s="63">
        <f>Table1[[#This Row],[Miles
per Day]]/D$2*A$3</f>
        <v>4.6956521739130439</v>
      </c>
      <c r="M31" s="63">
        <f>Table1[[#This Row],[Prime
Cost]]*261</f>
        <v>323.64</v>
      </c>
      <c r="N31" s="63">
        <f>Table1[[#This Row],[Regular
Cost]]*261</f>
        <v>1225.5652173913045</v>
      </c>
    </row>
    <row r="32" spans="10:14" x14ac:dyDescent="0.25">
      <c r="J32" s="64">
        <v>31</v>
      </c>
      <c r="K32" s="63">
        <f>IF(J32&lt;G$3,(J32/A$4*A$2),((G$3/A$4)*A$2)+((J32-G$3)/G$2*A$3))</f>
        <v>1.3066666666666666</v>
      </c>
      <c r="L32" s="63">
        <f>Table1[[#This Row],[Miles
per Day]]/D$2*A$3</f>
        <v>4.8521739130434787</v>
      </c>
      <c r="M32" s="63">
        <f>Table1[[#This Row],[Prime
Cost]]*261</f>
        <v>341.04</v>
      </c>
      <c r="N32" s="63">
        <f>Table1[[#This Row],[Regular
Cost]]*261</f>
        <v>1266.417391304348</v>
      </c>
    </row>
    <row r="33" spans="10:14" x14ac:dyDescent="0.25">
      <c r="J33" s="64">
        <v>32</v>
      </c>
      <c r="K33" s="63">
        <f>IF(J33&lt;G$3,(J33/A$4*A$2),((G$3/A$4)*A$2)+((J33-G$3)/G$2*A$3))</f>
        <v>1.3733333333333333</v>
      </c>
      <c r="L33" s="63">
        <f>Table1[[#This Row],[Miles
per Day]]/D$2*A$3</f>
        <v>5.0086956521739134</v>
      </c>
      <c r="M33" s="63">
        <f>Table1[[#This Row],[Prime
Cost]]*261</f>
        <v>358.44</v>
      </c>
      <c r="N33" s="63">
        <f>Table1[[#This Row],[Regular
Cost]]*261</f>
        <v>1307.2695652173913</v>
      </c>
    </row>
    <row r="34" spans="10:14" x14ac:dyDescent="0.25">
      <c r="J34" s="64">
        <v>33</v>
      </c>
      <c r="K34" s="63">
        <f>IF(J34&lt;G$3,(J34/A$4*A$2),((G$3/A$4)*A$2)+((J34-G$3)/G$2*A$3))</f>
        <v>1.44</v>
      </c>
      <c r="L34" s="63">
        <f>Table1[[#This Row],[Miles
per Day]]/D$2*A$3</f>
        <v>5.1652173913043473</v>
      </c>
      <c r="M34" s="63">
        <f>Table1[[#This Row],[Prime
Cost]]*261</f>
        <v>375.84</v>
      </c>
      <c r="N34" s="63">
        <f>Table1[[#This Row],[Regular
Cost]]*261</f>
        <v>1348.1217391304347</v>
      </c>
    </row>
    <row r="35" spans="10:14" x14ac:dyDescent="0.25">
      <c r="J35" s="64">
        <v>34</v>
      </c>
      <c r="K35" s="63">
        <f>IF(J35&lt;G$3,(J35/A$4*A$2),((G$3/A$4)*A$2)+((J35-G$3)/G$2*A$3))</f>
        <v>1.5066666666666668</v>
      </c>
      <c r="L35" s="63">
        <f>Table1[[#This Row],[Miles
per Day]]/D$2*A$3</f>
        <v>5.3217391304347821</v>
      </c>
      <c r="M35" s="63">
        <f>Table1[[#This Row],[Prime
Cost]]*261</f>
        <v>393.24000000000007</v>
      </c>
      <c r="N35" s="63">
        <f>Table1[[#This Row],[Regular
Cost]]*261</f>
        <v>1388.9739130434782</v>
      </c>
    </row>
    <row r="36" spans="10:14" x14ac:dyDescent="0.25">
      <c r="J36" s="64">
        <v>35</v>
      </c>
      <c r="K36" s="63">
        <f>IF(J36&lt;G$3,(J36/A$4*A$2),((G$3/A$4)*A$2)+((J36-G$3)/G$2*A$3))</f>
        <v>1.5733333333333333</v>
      </c>
      <c r="L36" s="63">
        <f>Table1[[#This Row],[Miles
per Day]]/D$2*A$3</f>
        <v>5.4782608695652177</v>
      </c>
      <c r="M36" s="63">
        <f>Table1[[#This Row],[Prime
Cost]]*261</f>
        <v>410.64</v>
      </c>
      <c r="N36" s="63">
        <f>Table1[[#This Row],[Regular
Cost]]*261</f>
        <v>1429.8260869565217</v>
      </c>
    </row>
    <row r="37" spans="10:14" x14ac:dyDescent="0.25">
      <c r="J37" s="64">
        <v>36</v>
      </c>
      <c r="K37" s="63">
        <f>IF(J37&lt;G$3,(J37/A$4*A$2),((G$3/A$4)*A$2)+((J37-G$3)/G$2*A$3))</f>
        <v>1.6400000000000001</v>
      </c>
      <c r="L37" s="63">
        <f>Table1[[#This Row],[Miles
per Day]]/D$2*A$3</f>
        <v>5.6347826086956525</v>
      </c>
      <c r="M37" s="63">
        <f>Table1[[#This Row],[Prime
Cost]]*261</f>
        <v>428.04</v>
      </c>
      <c r="N37" s="63">
        <f>Table1[[#This Row],[Regular
Cost]]*261</f>
        <v>1470.6782608695653</v>
      </c>
    </row>
    <row r="38" spans="10:14" x14ac:dyDescent="0.25">
      <c r="J38" s="64">
        <v>37</v>
      </c>
      <c r="K38" s="63">
        <f>IF(J38&lt;G$3,(J38/A$4*A$2),((G$3/A$4)*A$2)+((J38-G$3)/G$2*A$3))</f>
        <v>1.7066666666666666</v>
      </c>
      <c r="L38" s="63">
        <f>Table1[[#This Row],[Miles
per Day]]/D$2*A$3</f>
        <v>5.7913043478260873</v>
      </c>
      <c r="M38" s="63">
        <f>Table1[[#This Row],[Prime
Cost]]*261</f>
        <v>445.44</v>
      </c>
      <c r="N38" s="63">
        <f>Table1[[#This Row],[Regular
Cost]]*261</f>
        <v>1511.5304347826088</v>
      </c>
    </row>
    <row r="39" spans="10:14" x14ac:dyDescent="0.25">
      <c r="J39" s="64">
        <v>38</v>
      </c>
      <c r="K39" s="63">
        <f>IF(J39&lt;G$3,(J39/A$4*A$2),((G$3/A$4)*A$2)+((J39-G$3)/G$2*A$3))</f>
        <v>1.7733333333333334</v>
      </c>
      <c r="L39" s="63">
        <f>Table1[[#This Row],[Miles
per Day]]/D$2*A$3</f>
        <v>5.947826086956522</v>
      </c>
      <c r="M39" s="63">
        <f>Table1[[#This Row],[Prime
Cost]]*261</f>
        <v>462.84000000000003</v>
      </c>
      <c r="N39" s="63">
        <f>Table1[[#This Row],[Regular
Cost]]*261</f>
        <v>1552.3826086956522</v>
      </c>
    </row>
    <row r="40" spans="10:14" x14ac:dyDescent="0.25">
      <c r="J40" s="64">
        <v>39</v>
      </c>
      <c r="K40" s="63">
        <f>IF(J40&lt;G$3,(J40/A$4*A$2),((G$3/A$4)*A$2)+((J40-G$3)/G$2*A$3))</f>
        <v>1.8399999999999999</v>
      </c>
      <c r="L40" s="63">
        <f>Table1[[#This Row],[Miles
per Day]]/D$2*A$3</f>
        <v>6.1043478260869568</v>
      </c>
      <c r="M40" s="63">
        <f>Table1[[#This Row],[Prime
Cost]]*261</f>
        <v>480.23999999999995</v>
      </c>
      <c r="N40" s="63">
        <f>Table1[[#This Row],[Regular
Cost]]*261</f>
        <v>1593.2347826086957</v>
      </c>
    </row>
    <row r="41" spans="10:14" x14ac:dyDescent="0.25">
      <c r="J41" s="64">
        <v>40</v>
      </c>
      <c r="K41" s="63">
        <f>IF(J41&lt;G$3,(J41/A$4*A$2),((G$3/A$4)*A$2)+((J41-G$3)/G$2*A$3))</f>
        <v>1.9066666666666667</v>
      </c>
      <c r="L41" s="63">
        <f>Table1[[#This Row],[Miles
per Day]]/D$2*A$3</f>
        <v>6.2608695652173916</v>
      </c>
      <c r="M41" s="63">
        <f>Table1[[#This Row],[Prime
Cost]]*261</f>
        <v>497.64000000000004</v>
      </c>
      <c r="N41" s="63">
        <f>Table1[[#This Row],[Regular
Cost]]*261</f>
        <v>1634.0869565217392</v>
      </c>
    </row>
    <row r="42" spans="10:14" x14ac:dyDescent="0.25">
      <c r="J42" s="64">
        <v>41</v>
      </c>
      <c r="K42" s="63">
        <f>IF(J42&lt;G$3,(J42/A$4*A$2),((G$3/A$4)*A$2)+((J42-G$3)/G$2*A$3))</f>
        <v>1.9733333333333334</v>
      </c>
      <c r="L42" s="63">
        <f>Table1[[#This Row],[Miles
per Day]]/D$2*A$3</f>
        <v>6.4173913043478263</v>
      </c>
      <c r="M42" s="63">
        <f>Table1[[#This Row],[Prime
Cost]]*261</f>
        <v>515.04</v>
      </c>
      <c r="N42" s="63">
        <f>Table1[[#This Row],[Regular
Cost]]*261</f>
        <v>1674.9391304347828</v>
      </c>
    </row>
    <row r="43" spans="10:14" x14ac:dyDescent="0.25">
      <c r="J43" s="64">
        <v>42</v>
      </c>
      <c r="K43" s="63">
        <f>IF(J43&lt;G$3,(J43/A$4*A$2),((G$3/A$4)*A$2)+((J43-G$3)/G$2*A$3))</f>
        <v>2.04</v>
      </c>
      <c r="L43" s="63">
        <f>Table1[[#This Row],[Miles
per Day]]/D$2*A$3</f>
        <v>6.5739130434782602</v>
      </c>
      <c r="M43" s="63">
        <f>Table1[[#This Row],[Prime
Cost]]*261</f>
        <v>532.44000000000005</v>
      </c>
      <c r="N43" s="63">
        <f>Table1[[#This Row],[Regular
Cost]]*261</f>
        <v>1715.7913043478259</v>
      </c>
    </row>
    <row r="44" spans="10:14" x14ac:dyDescent="0.25">
      <c r="J44" s="64">
        <v>43</v>
      </c>
      <c r="K44" s="63">
        <f>IF(J44&lt;G$3,(J44/A$4*A$2),((G$3/A$4)*A$2)+((J44-G$3)/G$2*A$3))</f>
        <v>2.1066666666666669</v>
      </c>
      <c r="L44" s="63">
        <f>Table1[[#This Row],[Miles
per Day]]/D$2*A$3</f>
        <v>6.7304347826086959</v>
      </c>
      <c r="M44" s="63">
        <f>Table1[[#This Row],[Prime
Cost]]*261</f>
        <v>549.84</v>
      </c>
      <c r="N44" s="63">
        <f>Table1[[#This Row],[Regular
Cost]]*261</f>
        <v>1756.6434782608696</v>
      </c>
    </row>
    <row r="45" spans="10:14" x14ac:dyDescent="0.25">
      <c r="J45" s="64">
        <v>44</v>
      </c>
      <c r="K45" s="63">
        <f>IF(J45&lt;G$3,(J45/A$4*A$2),((G$3/A$4)*A$2)+((J45-G$3)/G$2*A$3))</f>
        <v>2.1733333333333333</v>
      </c>
      <c r="L45" s="63">
        <f>Table1[[#This Row],[Miles
per Day]]/D$2*A$3</f>
        <v>6.8869565217391306</v>
      </c>
      <c r="M45" s="63">
        <f>Table1[[#This Row],[Prime
Cost]]*261</f>
        <v>567.24</v>
      </c>
      <c r="N45" s="63">
        <f>Table1[[#This Row],[Regular
Cost]]*261</f>
        <v>1797.4956521739132</v>
      </c>
    </row>
    <row r="46" spans="10:14" x14ac:dyDescent="0.25">
      <c r="J46" s="64">
        <v>45</v>
      </c>
      <c r="K46" s="63">
        <f>IF(J46&lt;G$3,(J46/A$4*A$2),((G$3/A$4)*A$2)+((J46-G$3)/G$2*A$3))</f>
        <v>2.2400000000000002</v>
      </c>
      <c r="L46" s="63">
        <f>Table1[[#This Row],[Miles
per Day]]/D$2*A$3</f>
        <v>7.0434782608695654</v>
      </c>
      <c r="M46" s="63">
        <f>Table1[[#This Row],[Prime
Cost]]*261</f>
        <v>584.6400000000001</v>
      </c>
      <c r="N46" s="63">
        <f>Table1[[#This Row],[Regular
Cost]]*261</f>
        <v>1838.3478260869565</v>
      </c>
    </row>
    <row r="47" spans="10:14" x14ac:dyDescent="0.25">
      <c r="J47" s="64">
        <v>46</v>
      </c>
      <c r="K47" s="63">
        <f>IF(J47&lt;G$3,(J47/A$4*A$2),((G$3/A$4)*A$2)+((J47-G$3)/G$2*A$3))</f>
        <v>2.3066666666666666</v>
      </c>
      <c r="L47" s="63">
        <f>Table1[[#This Row],[Miles
per Day]]/D$2*A$3</f>
        <v>7.2</v>
      </c>
      <c r="M47" s="63">
        <f>Table1[[#This Row],[Prime
Cost]]*261</f>
        <v>602.04</v>
      </c>
      <c r="N47" s="63">
        <f>Table1[[#This Row],[Regular
Cost]]*261</f>
        <v>1879.2</v>
      </c>
    </row>
    <row r="48" spans="10:14" x14ac:dyDescent="0.25">
      <c r="J48" s="64">
        <v>47</v>
      </c>
      <c r="K48" s="63">
        <f>IF(J48&lt;G$3,(J48/A$4*A$2),((G$3/A$4)*A$2)+((J48-G$3)/G$2*A$3))</f>
        <v>2.3733333333333335</v>
      </c>
      <c r="L48" s="63">
        <f>Table1[[#This Row],[Miles
per Day]]/D$2*A$3</f>
        <v>7.3565217391304358</v>
      </c>
      <c r="M48" s="63">
        <f>Table1[[#This Row],[Prime
Cost]]*261</f>
        <v>619.44000000000005</v>
      </c>
      <c r="N48" s="63">
        <f>Table1[[#This Row],[Regular
Cost]]*261</f>
        <v>1920.0521739130438</v>
      </c>
    </row>
    <row r="49" spans="10:14" x14ac:dyDescent="0.25">
      <c r="J49" s="64">
        <v>48</v>
      </c>
      <c r="K49" s="63">
        <f>IF(J49&lt;G$3,(J49/A$4*A$2),((G$3/A$4)*A$2)+((J49-G$3)/G$2*A$3))</f>
        <v>2.44</v>
      </c>
      <c r="L49" s="63">
        <f>Table1[[#This Row],[Miles
per Day]]/D$2*A$3</f>
        <v>7.5130434782608697</v>
      </c>
      <c r="M49" s="63">
        <f>Table1[[#This Row],[Prime
Cost]]*261</f>
        <v>636.84</v>
      </c>
      <c r="N49" s="63">
        <f>Table1[[#This Row],[Regular
Cost]]*261</f>
        <v>1960.9043478260869</v>
      </c>
    </row>
    <row r="50" spans="10:14" x14ac:dyDescent="0.25">
      <c r="J50" s="64">
        <v>49</v>
      </c>
      <c r="K50" s="63">
        <f>IF(J50&lt;G$3,(J50/A$4*A$2),((G$3/A$4)*A$2)+((J50-G$3)/G$2*A$3))</f>
        <v>2.5066666666666668</v>
      </c>
      <c r="L50" s="63">
        <f>Table1[[#This Row],[Miles
per Day]]/D$2*A$3</f>
        <v>7.6695652173913054</v>
      </c>
      <c r="M50" s="63">
        <f>Table1[[#This Row],[Prime
Cost]]*261</f>
        <v>654.24</v>
      </c>
      <c r="N50" s="63">
        <f>Table1[[#This Row],[Regular
Cost]]*261</f>
        <v>2001.7565217391307</v>
      </c>
    </row>
    <row r="51" spans="10:14" x14ac:dyDescent="0.25">
      <c r="J51" s="64">
        <v>50</v>
      </c>
      <c r="K51" s="63">
        <f>IF(J51&lt;G$3,(J51/A$4*A$2),((G$3/A$4)*A$2)+((J51-G$3)/G$2*A$3))</f>
        <v>2.5733333333333333</v>
      </c>
      <c r="L51" s="63">
        <f>Table1[[#This Row],[Miles
per Day]]/D$2*A$3</f>
        <v>7.8260869565217392</v>
      </c>
      <c r="M51" s="63">
        <f>Table1[[#This Row],[Prime
Cost]]*261</f>
        <v>671.64</v>
      </c>
      <c r="N51" s="63">
        <f>Table1[[#This Row],[Regular
Cost]]*261</f>
        <v>2042.608695652174</v>
      </c>
    </row>
    <row r="52" spans="10:14" x14ac:dyDescent="0.25">
      <c r="J52" s="64">
        <v>51</v>
      </c>
      <c r="K52" s="63">
        <f>IF(J52&lt;G$3,(J52/A$4*A$2),((G$3/A$4)*A$2)+((J52-G$3)/G$2*A$3))</f>
        <v>2.64</v>
      </c>
      <c r="L52" s="63">
        <f>Table1[[#This Row],[Miles
per Day]]/D$2*A$3</f>
        <v>7.982608695652174</v>
      </c>
      <c r="M52" s="63">
        <f>Table1[[#This Row],[Prime
Cost]]*261</f>
        <v>689.04000000000008</v>
      </c>
      <c r="N52" s="63">
        <f>Table1[[#This Row],[Regular
Cost]]*261</f>
        <v>2083.4608695652173</v>
      </c>
    </row>
    <row r="53" spans="10:14" x14ac:dyDescent="0.25">
      <c r="J53" s="64">
        <v>52</v>
      </c>
      <c r="K53" s="63">
        <f>IF(J53&lt;G$3,(J53/A$4*A$2),((G$3/A$4)*A$2)+((J53-G$3)/G$2*A$3))</f>
        <v>2.7066666666666666</v>
      </c>
      <c r="L53" s="63">
        <f>Table1[[#This Row],[Miles
per Day]]/D$2*A$3</f>
        <v>8.1391304347826079</v>
      </c>
      <c r="M53" s="63">
        <f>Table1[[#This Row],[Prime
Cost]]*261</f>
        <v>706.43999999999994</v>
      </c>
      <c r="N53" s="63">
        <f>Table1[[#This Row],[Regular
Cost]]*261</f>
        <v>2124.3130434782606</v>
      </c>
    </row>
    <row r="54" spans="10:14" x14ac:dyDescent="0.25">
      <c r="J54" s="64">
        <v>53</v>
      </c>
      <c r="K54" s="63">
        <f>IF(J54&lt;G$3,(J54/A$4*A$2),((G$3/A$4)*A$2)+((J54-G$3)/G$2*A$3))</f>
        <v>2.7733333333333334</v>
      </c>
      <c r="L54" s="63">
        <f>Table1[[#This Row],[Miles
per Day]]/D$2*A$3</f>
        <v>8.2956521739130444</v>
      </c>
      <c r="M54" s="63">
        <f>Table1[[#This Row],[Prime
Cost]]*261</f>
        <v>723.84</v>
      </c>
      <c r="N54" s="63">
        <f>Table1[[#This Row],[Regular
Cost]]*261</f>
        <v>2165.1652173913044</v>
      </c>
    </row>
  </sheetData>
  <mergeCells count="3">
    <mergeCell ref="A1:B1"/>
    <mergeCell ref="D1:E1"/>
    <mergeCell ref="G1:H1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Battery% at End of Trip</vt:lpstr>
      <vt:lpstr>Mountain PE</vt:lpstr>
      <vt:lpstr>Prime Gas Cost Savings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Galaxy</dc:creator>
  <cp:lastModifiedBy>Galaxy</cp:lastModifiedBy>
  <dcterms:created xsi:type="dcterms:W3CDTF">2018-05-29T03:23:10Z</dcterms:created>
  <dcterms:modified xsi:type="dcterms:W3CDTF">2018-07-20T11:56:03Z</dcterms:modified>
</cp:coreProperties>
</file>