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jerrypetersen/Library/Mobile Documents/com~apple~CloudDocs/Prius/2017 Prime/"/>
    </mc:Choice>
  </mc:AlternateContent>
  <xr:revisionPtr revIDLastSave="0" documentId="13_ncr:1_{A8F2F45D-7445-FC48-AEFD-5DDAB13F61EF}" xr6:coauthVersionLast="45" xr6:coauthVersionMax="45" xr10:uidLastSave="{00000000-0000-0000-0000-000000000000}"/>
  <bookViews>
    <workbookView xWindow="0" yWindow="460" windowWidth="51200" windowHeight="2684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6" i="1" l="1"/>
  <c r="AC17" i="1"/>
  <c r="AD11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X24" i="1"/>
  <c r="S24" i="1"/>
  <c r="T24" i="1"/>
  <c r="R24" i="1"/>
  <c r="P23" i="1"/>
  <c r="Q23" i="1"/>
  <c r="R23" i="1"/>
  <c r="H23" i="1"/>
  <c r="X23" i="1"/>
  <c r="P22" i="1"/>
  <c r="Q22" i="1"/>
  <c r="R22" i="1"/>
  <c r="H22" i="1"/>
  <c r="X22" i="1"/>
  <c r="S23" i="1"/>
  <c r="S22" i="1"/>
  <c r="P21" i="1"/>
  <c r="Q21" i="1"/>
  <c r="R21" i="1"/>
  <c r="H21" i="1"/>
  <c r="X21" i="1"/>
  <c r="P31" i="1"/>
  <c r="P30" i="1"/>
  <c r="P29" i="1"/>
  <c r="P28" i="1"/>
  <c r="P27" i="1"/>
  <c r="P26" i="1"/>
  <c r="P25" i="1"/>
  <c r="P24" i="1"/>
  <c r="P20" i="1"/>
  <c r="P19" i="1"/>
  <c r="P18" i="1"/>
  <c r="AB28" i="1"/>
  <c r="Q20" i="1"/>
  <c r="R20" i="1"/>
  <c r="H20" i="1"/>
  <c r="X20" i="1"/>
  <c r="AB27" i="1"/>
  <c r="P15" i="1"/>
  <c r="Q15" i="1"/>
  <c r="R15" i="1"/>
  <c r="Q18" i="1"/>
  <c r="R18" i="1"/>
  <c r="Q19" i="1"/>
  <c r="R19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6" i="1"/>
  <c r="Q16" i="1"/>
  <c r="R16" i="1"/>
  <c r="P17" i="1"/>
  <c r="Q17" i="1"/>
  <c r="R17" i="1"/>
  <c r="AB31" i="1"/>
  <c r="AB29" i="1"/>
  <c r="H19" i="1"/>
  <c r="X19" i="1"/>
  <c r="H18" i="1"/>
  <c r="X18" i="1"/>
  <c r="H17" i="1"/>
  <c r="X17" i="1"/>
  <c r="H16" i="1"/>
  <c r="X16" i="1"/>
  <c r="H15" i="1"/>
  <c r="X15" i="1"/>
  <c r="H14" i="1"/>
  <c r="X14" i="1"/>
  <c r="H13" i="1"/>
  <c r="X13" i="1"/>
  <c r="H12" i="1"/>
  <c r="X12" i="1"/>
  <c r="H11" i="1"/>
  <c r="X11" i="1"/>
  <c r="T23" i="1"/>
  <c r="T22" i="1"/>
  <c r="S21" i="1"/>
  <c r="T21" i="1"/>
  <c r="S20" i="1"/>
  <c r="S19" i="1"/>
  <c r="S18" i="1"/>
  <c r="S17" i="1"/>
  <c r="S16" i="1"/>
  <c r="S15" i="1"/>
  <c r="S14" i="1"/>
  <c r="S13" i="1"/>
  <c r="S12" i="1"/>
  <c r="S11" i="1"/>
  <c r="H10" i="1"/>
  <c r="X10" i="1"/>
  <c r="S10" i="1"/>
  <c r="P7" i="1"/>
  <c r="H9" i="1"/>
  <c r="X9" i="1"/>
  <c r="S9" i="1"/>
  <c r="H8" i="1"/>
  <c r="X8" i="1"/>
  <c r="S8" i="1"/>
  <c r="Q7" i="1"/>
  <c r="R7" i="1"/>
  <c r="H7" i="1"/>
  <c r="X7" i="1"/>
  <c r="S7" i="1"/>
  <c r="P6" i="1"/>
  <c r="Q6" i="1"/>
  <c r="R6" i="1"/>
  <c r="R1" i="1"/>
  <c r="AC4" i="1"/>
  <c r="AB16" i="1"/>
  <c r="V6" i="1"/>
  <c r="U6" i="1"/>
  <c r="H6" i="1"/>
  <c r="H24" i="1"/>
  <c r="H25" i="1"/>
  <c r="H26" i="1"/>
  <c r="H27" i="1"/>
  <c r="H29" i="1"/>
  <c r="H30" i="1"/>
  <c r="H31" i="1"/>
  <c r="H33" i="1"/>
  <c r="H34" i="1"/>
  <c r="H35" i="1"/>
  <c r="H1" i="1"/>
  <c r="AB17" i="1"/>
  <c r="S6" i="1"/>
  <c r="T6" i="1"/>
  <c r="T1" i="1"/>
  <c r="S3" i="1"/>
  <c r="T3" i="1"/>
  <c r="P4" i="1"/>
  <c r="Q4" i="1"/>
  <c r="R4" i="1"/>
  <c r="H4" i="1"/>
  <c r="S4" i="1"/>
  <c r="T4" i="1"/>
  <c r="V3" i="1"/>
  <c r="U3" i="1"/>
  <c r="O1" i="1"/>
  <c r="X6" i="1"/>
  <c r="W36" i="1"/>
  <c r="V35" i="1"/>
  <c r="W35" i="1"/>
  <c r="V34" i="1"/>
  <c r="W34" i="1"/>
  <c r="V33" i="1"/>
  <c r="W33" i="1"/>
  <c r="V31" i="1"/>
  <c r="W31" i="1"/>
  <c r="V30" i="1"/>
  <c r="W30" i="1"/>
  <c r="V29" i="1"/>
  <c r="W29" i="1"/>
  <c r="V27" i="1"/>
  <c r="W27" i="1"/>
  <c r="V26" i="1"/>
  <c r="W26" i="1"/>
  <c r="V25" i="1"/>
  <c r="W25" i="1"/>
  <c r="V24" i="1"/>
  <c r="W24" i="1"/>
  <c r="V23" i="1"/>
  <c r="W23" i="1"/>
  <c r="V22" i="1"/>
  <c r="W22" i="1"/>
  <c r="V21" i="1"/>
  <c r="W21" i="1"/>
  <c r="V20" i="1"/>
  <c r="W20" i="1"/>
  <c r="V19" i="1"/>
  <c r="W19" i="1"/>
  <c r="V18" i="1"/>
  <c r="W18" i="1"/>
  <c r="V17" i="1"/>
  <c r="W17" i="1"/>
  <c r="V16" i="1"/>
  <c r="W16" i="1"/>
  <c r="V15" i="1"/>
  <c r="W15" i="1"/>
  <c r="V14" i="1"/>
  <c r="W14" i="1"/>
  <c r="V13" i="1"/>
  <c r="W13" i="1"/>
  <c r="V12" i="1"/>
  <c r="W12" i="1"/>
  <c r="V11" i="1"/>
  <c r="W11" i="1"/>
  <c r="V10" i="1"/>
  <c r="W10" i="1"/>
  <c r="V9" i="1"/>
  <c r="W9" i="1"/>
  <c r="V8" i="1"/>
  <c r="W8" i="1"/>
  <c r="V7" i="1"/>
  <c r="W7" i="1"/>
  <c r="W6" i="1"/>
  <c r="U36" i="1"/>
  <c r="U35" i="1"/>
  <c r="U34" i="1"/>
  <c r="U33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Q25" i="1"/>
  <c r="Q24" i="1"/>
  <c r="S29" i="1"/>
  <c r="S27" i="1"/>
  <c r="S26" i="1"/>
  <c r="S25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C31" i="1"/>
  <c r="L6" i="1"/>
  <c r="D31" i="1"/>
  <c r="B31" i="1"/>
  <c r="X1" i="1"/>
  <c r="W1" i="1"/>
  <c r="V1" i="1"/>
  <c r="U1" i="1"/>
  <c r="Q1" i="1"/>
  <c r="P1" i="1"/>
  <c r="K1" i="1"/>
  <c r="S1" i="1"/>
  <c r="N1" i="1"/>
  <c r="J1" i="1"/>
  <c r="D26" i="1"/>
  <c r="B26" i="1"/>
  <c r="X4" i="1"/>
  <c r="W4" i="1"/>
  <c r="V4" i="1"/>
  <c r="U4" i="1"/>
  <c r="L4" i="1"/>
  <c r="P3" i="1"/>
  <c r="Q3" i="1"/>
  <c r="R3" i="1"/>
  <c r="L3" i="1"/>
  <c r="L1" i="1"/>
</calcChain>
</file>

<file path=xl/sharedStrings.xml><?xml version="1.0" encoding="utf-8"?>
<sst xmlns="http://schemas.openxmlformats.org/spreadsheetml/2006/main" count="152" uniqueCount="144">
  <si>
    <t>Date</t>
  </si>
  <si>
    <t>Miles</t>
  </si>
  <si>
    <t>Pump Gallons</t>
  </si>
  <si>
    <t>Raw MPG</t>
  </si>
  <si>
    <t>Price per Gallon</t>
  </si>
  <si>
    <t>Cost per 100 Miles</t>
  </si>
  <si>
    <t>Total Gas Cost</t>
  </si>
  <si>
    <t>Metered kWh (Paid)</t>
  </si>
  <si>
    <t>Odometer</t>
  </si>
  <si>
    <t>Metered Electricity Cost</t>
  </si>
  <si>
    <t>Gas &amp; Electric Cost</t>
  </si>
  <si>
    <t>Averages/Totals</t>
  </si>
  <si>
    <t>Price per kWh</t>
  </si>
  <si>
    <t>Cost per 100 mi. of Ave/ Sm. Car @ 28 mpg</t>
  </si>
  <si>
    <t>Cost per 100 mi. of Gen 2 @ 49 mpg</t>
  </si>
  <si>
    <t>This distance savings vs 49 mpg</t>
  </si>
  <si>
    <t>This distance savings vs 28 mpg</t>
  </si>
  <si>
    <t>Month</t>
  </si>
  <si>
    <t>Distance</t>
  </si>
  <si>
    <t>Average MPG</t>
  </si>
  <si>
    <t>April, 2017</t>
  </si>
  <si>
    <t>May, 2017</t>
  </si>
  <si>
    <t>June, 2017</t>
  </si>
  <si>
    <t>July, 2017</t>
  </si>
  <si>
    <t>August, 2017</t>
  </si>
  <si>
    <t>September, 2017</t>
  </si>
  <si>
    <t>November, 2017</t>
  </si>
  <si>
    <t>December, 2017</t>
  </si>
  <si>
    <t>January, 2018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</si>
  <si>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</si>
  <si>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</si>
  <si>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</si>
  <si>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</si>
  <si>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</si>
  <si>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</si>
  <si>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</si>
  <si>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</si>
  <si>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</si>
  <si>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</si>
  <si>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</si>
  <si>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>January, 2019</t>
  </si>
  <si>
    <t>February, 2019</t>
  </si>
  <si>
    <t>March, 2019</t>
  </si>
  <si>
    <t>Total/Ave.</t>
  </si>
  <si>
    <t>Total/Ave. of PO</t>
  </si>
  <si>
    <t>New Records for</t>
  </si>
  <si>
    <t>Jerry</t>
  </si>
  <si>
    <t>April, 2019</t>
  </si>
  <si>
    <t>May, 2019</t>
  </si>
  <si>
    <t>June, 2019</t>
  </si>
  <si>
    <t>July, 2019</t>
  </si>
  <si>
    <t>August, 2019</t>
  </si>
  <si>
    <t>September, 2019</t>
  </si>
  <si>
    <t>Octorber, 2019</t>
  </si>
  <si>
    <t>November, 2019</t>
  </si>
  <si>
    <t>December, 2019</t>
  </si>
  <si>
    <t>January, 2020</t>
  </si>
  <si>
    <t>February, 2020</t>
  </si>
  <si>
    <t>March, 2020</t>
  </si>
  <si>
    <t>April, 2020</t>
  </si>
  <si>
    <t>Start here!</t>
  </si>
  <si>
    <t>Eco DiaryAverage MPG by month</t>
  </si>
  <si>
    <t>Total cost/mile</t>
  </si>
  <si>
    <t>Miles/kWh</t>
  </si>
  <si>
    <t>Purchaced with</t>
  </si>
  <si>
    <t>Maintenance, parts, repairs</t>
  </si>
  <si>
    <t>Item</t>
  </si>
  <si>
    <t>Cost:</t>
  </si>
  <si>
    <t>tires/alignment</t>
  </si>
  <si>
    <t>Purchase</t>
  </si>
  <si>
    <t>Incl. tax, title, fees</t>
  </si>
  <si>
    <t>TCO/Mile:</t>
  </si>
  <si>
    <t>392 (367.5-427.7)</t>
  </si>
  <si>
    <t>TCO w/gas minus accessories:</t>
  </si>
  <si>
    <t>trip mpg</t>
  </si>
  <si>
    <t>trip miles</t>
  </si>
  <si>
    <t>trip gallons</t>
  </si>
  <si>
    <t>Trip fuel cost</t>
  </si>
  <si>
    <t>states</t>
  </si>
  <si>
    <t>days</t>
  </si>
  <si>
    <t>visits</t>
  </si>
  <si>
    <t>beds</t>
  </si>
  <si>
    <t>May 24</t>
  </si>
  <si>
    <t>May 22</t>
  </si>
  <si>
    <t>747.5</t>
  </si>
  <si>
    <t>May 21</t>
  </si>
  <si>
    <t>301.7</t>
  </si>
  <si>
    <t>May 20</t>
  </si>
  <si>
    <t>449.8</t>
  </si>
  <si>
    <t>May 18</t>
  </si>
  <si>
    <t>76.5</t>
  </si>
  <si>
    <t>May 13</t>
  </si>
  <si>
    <t>May 12</t>
  </si>
  <si>
    <t>May 11</t>
  </si>
  <si>
    <t>May 10</t>
  </si>
  <si>
    <t>305.5</t>
  </si>
  <si>
    <t>279.3</t>
  </si>
  <si>
    <t>484.2</t>
  </si>
  <si>
    <t>125.7</t>
  </si>
  <si>
    <t>May 07</t>
  </si>
  <si>
    <t>401.7</t>
  </si>
  <si>
    <t>May 06</t>
  </si>
  <si>
    <t>597.5</t>
  </si>
  <si>
    <t>May 04</t>
  </si>
  <si>
    <t>518</t>
  </si>
  <si>
    <t>May 03</t>
  </si>
  <si>
    <t>539.6</t>
  </si>
  <si>
    <t>home-Mobile</t>
  </si>
  <si>
    <t>Mobile-Fischer</t>
  </si>
  <si>
    <t>Fischer-Van Horn</t>
  </si>
  <si>
    <t>Van Horn-Jo</t>
  </si>
  <si>
    <t>Jo-Farmington</t>
  </si>
  <si>
    <t>Farmington-Delta</t>
  </si>
  <si>
    <t>Tonbstone</t>
  </si>
  <si>
    <t>Delta-Broomfield</t>
  </si>
  <si>
    <t>Broomfield-Kelly</t>
  </si>
  <si>
    <t>Kelly-SC</t>
  </si>
  <si>
    <t>SC-Terry</t>
  </si>
  <si>
    <t>Terry-Walt</t>
  </si>
  <si>
    <t>Walt-home</t>
  </si>
  <si>
    <t>oil filter &amp; gasket</t>
  </si>
  <si>
    <t>touchup paint</t>
  </si>
  <si>
    <t>Indicated MPG</t>
  </si>
  <si>
    <t>336 (317.9 - 361.9)</t>
  </si>
  <si>
    <t>Replace ATF-WS</t>
  </si>
  <si>
    <t>235 (162-427)</t>
  </si>
  <si>
    <t>336 (318-361)</t>
  </si>
  <si>
    <t>DTE after fullup</t>
  </si>
  <si>
    <t>MPG</t>
  </si>
  <si>
    <t>oil, filter &amp; gasket</t>
  </si>
  <si>
    <t>Purchase Date:</t>
  </si>
  <si>
    <t>5.958</t>
  </si>
  <si>
    <t>Battery capacity (kWh)</t>
  </si>
  <si>
    <t>Temperature</t>
  </si>
  <si>
    <t>Depletion</t>
  </si>
  <si>
    <t>0.1 mi</t>
  </si>
  <si>
    <t>6.125</t>
  </si>
  <si>
    <t>0.5 past</t>
  </si>
  <si>
    <t>470 (435-511)</t>
  </si>
  <si>
    <t>6.194</t>
  </si>
  <si>
    <t>Odometer (Inst.):</t>
  </si>
  <si>
    <t>4 wheel alignment</t>
  </si>
  <si>
    <t>Brake fluid flush &amp; replace</t>
  </si>
  <si>
    <t>est trade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</si>
</sst>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00"/>
    <numFmt numFmtId="166" formatCode="&quot;$&quot;#,##0.0000"/>
    <numFmt numFmtId="167" formatCode="[$-409]mmmm\ d\,\ yyyy;@"/>
    <numFmt numFmtId="168" formatCode="0.0"/>
    <numFmt numFmtId="169" formatCode="#,##0.0"/>
  </numFmts>
  <fonts count="6">
    <font>
      <sz val="12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u/>
      <sz val="12"/>
      <color theme="10"/>
      <name val="Gill Sans MT"/>
      <family val="2"/>
      <scheme val="minor"/>
    </font>
    <font>
      <u/>
      <sz val="12"/>
      <color theme="11"/>
      <name val="Gill Sans MT"/>
      <family val="2"/>
      <scheme val="minor"/>
    </font>
    <font>
      <sz val="12"/>
      <color rgb="FF006100"/>
      <name val="Gill Sans MT"/>
      <family val="2"/>
      <scheme val="minor"/>
    </font>
    <font>
      <b/>
      <sz val="12"/>
      <color rgb="FFFF0000"/>
      <name val="Gill Sans MT (Body)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</cellStyleXfs>
  <cellXfs count="75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3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/>
    <xf numFmtId="1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167" fontId="0" fillId="0" borderId="1" xfId="0" applyNumberFormat="1" applyBorder="1" applyAlignment="1">
      <alignment horizontal="left"/>
    </xf>
    <xf numFmtId="2" fontId="1" fillId="3" borderId="1" xfId="0" applyNumberFormat="1" applyFont="1" applyFill="1" applyBorder="1"/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168" fontId="0" fillId="0" borderId="1" xfId="0" applyNumberFormat="1" applyBorder="1"/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2" fontId="0" fillId="5" borderId="1" xfId="0" applyNumberFormat="1" applyFill="1" applyBorder="1"/>
    <xf numFmtId="168" fontId="0" fillId="5" borderId="1" xfId="0" applyNumberFormat="1" applyFill="1" applyBorder="1"/>
    <xf numFmtId="2" fontId="1" fillId="4" borderId="2" xfId="0" applyNumberFormat="1" applyFont="1" applyFill="1" applyBorder="1" applyAlignment="1">
      <alignment horizontal="left"/>
    </xf>
    <xf numFmtId="168" fontId="0" fillId="0" borderId="2" xfId="0" applyNumberFormat="1" applyBorder="1"/>
    <xf numFmtId="3" fontId="0" fillId="0" borderId="2" xfId="0" applyNumberFormat="1" applyBorder="1"/>
    <xf numFmtId="168" fontId="0" fillId="5" borderId="3" xfId="0" applyNumberFormat="1" applyFill="1" applyBorder="1"/>
    <xf numFmtId="2" fontId="1" fillId="4" borderId="4" xfId="0" applyNumberFormat="1" applyFont="1" applyFill="1" applyBorder="1" applyAlignment="1">
      <alignment horizontal="left"/>
    </xf>
    <xf numFmtId="3" fontId="0" fillId="0" borderId="4" xfId="0" applyNumberFormat="1" applyBorder="1"/>
    <xf numFmtId="168" fontId="0" fillId="0" borderId="4" xfId="0" applyNumberFormat="1" applyBorder="1"/>
    <xf numFmtId="2" fontId="1" fillId="4" borderId="5" xfId="0" applyNumberFormat="1" applyFont="1" applyFill="1" applyBorder="1" applyAlignment="1">
      <alignment horizontal="left"/>
    </xf>
    <xf numFmtId="3" fontId="1" fillId="0" borderId="6" xfId="0" applyNumberFormat="1" applyFont="1" applyBorder="1"/>
    <xf numFmtId="168" fontId="1" fillId="0" borderId="7" xfId="0" applyNumberFormat="1" applyFont="1" applyBorder="1"/>
    <xf numFmtId="3" fontId="0" fillId="0" borderId="6" xfId="0" applyNumberFormat="1" applyBorder="1"/>
    <xf numFmtId="168" fontId="0" fillId="0" borderId="7" xfId="0" applyNumberFormat="1" applyBorder="1"/>
    <xf numFmtId="3" fontId="0" fillId="5" borderId="1" xfId="0" applyNumberFormat="1" applyFill="1" applyBorder="1"/>
    <xf numFmtId="3" fontId="1" fillId="0" borderId="8" xfId="0" applyNumberFormat="1" applyFont="1" applyBorder="1"/>
    <xf numFmtId="3" fontId="4" fillId="6" borderId="1" xfId="5" applyNumberFormat="1" applyBorder="1"/>
    <xf numFmtId="1" fontId="4" fillId="6" borderId="1" xfId="5" applyNumberFormat="1" applyBorder="1"/>
    <xf numFmtId="2" fontId="4" fillId="6" borderId="1" xfId="5" applyNumberFormat="1" applyBorder="1"/>
    <xf numFmtId="2" fontId="4" fillId="6" borderId="1" xfId="5" applyNumberFormat="1" applyBorder="1" applyAlignment="1">
      <alignment horizontal="center" wrapText="1"/>
    </xf>
    <xf numFmtId="166" fontId="4" fillId="6" borderId="1" xfId="5" applyNumberFormat="1" applyBorder="1"/>
    <xf numFmtId="164" fontId="4" fillId="6" borderId="1" xfId="5" applyNumberFormat="1" applyBorder="1"/>
    <xf numFmtId="14" fontId="1" fillId="2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/>
    <xf numFmtId="169" fontId="0" fillId="3" borderId="1" xfId="0" applyNumberFormat="1" applyFill="1" applyBorder="1"/>
    <xf numFmtId="3" fontId="0" fillId="3" borderId="1" xfId="0" applyNumberFormat="1" applyFill="1" applyBorder="1"/>
    <xf numFmtId="166" fontId="1" fillId="2" borderId="1" xfId="0" applyNumberFormat="1" applyFont="1" applyFill="1" applyBorder="1" applyAlignment="1">
      <alignment horizontal="center" wrapText="1"/>
    </xf>
    <xf numFmtId="166" fontId="0" fillId="0" borderId="1" xfId="0" applyNumberFormat="1" applyBorder="1"/>
    <xf numFmtId="166" fontId="0" fillId="5" borderId="1" xfId="0" applyNumberFormat="1" applyFill="1" applyBorder="1"/>
    <xf numFmtId="3" fontId="1" fillId="0" borderId="2" xfId="0" applyNumberFormat="1" applyFont="1" applyBorder="1"/>
    <xf numFmtId="167" fontId="0" fillId="0" borderId="1" xfId="0" applyNumberFormat="1" applyBorder="1"/>
    <xf numFmtId="164" fontId="1" fillId="2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4" fontId="1" fillId="5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/>
    <xf numFmtId="49" fontId="0" fillId="0" borderId="1" xfId="0" applyNumberFormat="1" applyBorder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9" fontId="1" fillId="3" borderId="1" xfId="0" applyNumberFormat="1" applyFont="1" applyFill="1" applyBorder="1"/>
    <xf numFmtId="169" fontId="1" fillId="7" borderId="1" xfId="0" applyNumberFormat="1" applyFont="1" applyFill="1" applyBorder="1" applyAlignment="1">
      <alignment horizontal="right"/>
    </xf>
    <xf numFmtId="164" fontId="0" fillId="7" borderId="1" xfId="0" applyNumberFormat="1" applyFill="1" applyBorder="1"/>
    <xf numFmtId="16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2" fontId="1" fillId="4" borderId="9" xfId="0" applyNumberFormat="1" applyFont="1" applyFill="1" applyBorder="1" applyAlignment="1">
      <alignment horizontal="left"/>
    </xf>
    <xf numFmtId="3" fontId="0" fillId="0" borderId="10" xfId="0" applyNumberFormat="1" applyBorder="1"/>
    <xf numFmtId="168" fontId="0" fillId="0" borderId="11" xfId="0" applyNumberFormat="1" applyBorder="1"/>
    <xf numFmtId="49" fontId="1" fillId="0" borderId="1" xfId="0" applyNumberFormat="1" applyFont="1" applyBorder="1" applyAlignment="1">
      <alignment horizontal="right"/>
    </xf>
    <xf numFmtId="166" fontId="0" fillId="3" borderId="1" xfId="0" applyNumberFormat="1" applyFill="1" applyBorder="1"/>
  </cellXfs>
  <cellStyles count="6">
    <cellStyle name="Followed Hyperlink" xfId="2" builtinId="9" hidden="1"/>
    <cellStyle name="Followed Hyperlink" xfId="4" builtinId="9" hidden="1"/>
    <cellStyle name="Good" xfId="5" builtinId="26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zoomScale="96" zoomScaleNormal="96" workbookViewId="0">
      <pane xSplit="6" ySplit="2" topLeftCell="G3" activePane="bottomRight" state="frozen"/>
      <selection pane="topRight" activeCell="B1" sqref="B1"/>
      <selection pane="bottomLeft" activeCell="A3" sqref="A3"/>
      <selection pane="bottomRight" activeCell="D46" sqref="D46"/>
    </sheetView>
  </sheetViews>
  <sheetFormatPr baseColWidth="10" defaultRowHeight="16"/>
  <cols>
    <col min="1" max="1" width="18.6640625" style="11" customWidth="1"/>
    <col min="2" max="3" width="10.83203125" style="11"/>
    <col min="4" max="4" width="18.6640625" style="11" customWidth="1"/>
    <col min="5" max="5" width="1.5" style="20" customWidth="1"/>
    <col min="6" max="6" width="20" style="8" customWidth="1"/>
    <col min="7" max="7" width="11.83203125" style="9" customWidth="1"/>
    <col min="8" max="8" width="9.33203125" style="37" customWidth="1"/>
    <col min="9" max="9" width="8.6640625" style="37" customWidth="1"/>
    <col min="10" max="10" width="8.83203125" style="10" customWidth="1"/>
    <col min="11" max="11" width="10.83203125" style="12"/>
    <col min="12" max="12" width="9.6640625" style="38" customWidth="1"/>
    <col min="13" max="13" width="10.5" style="38" customWidth="1"/>
    <col min="14" max="14" width="9.83203125" style="11" customWidth="1"/>
    <col min="15" max="15" width="10.83203125" style="47"/>
    <col min="16" max="16" width="10.83203125" style="41"/>
    <col min="17" max="18" width="10.83203125" style="38"/>
    <col min="19" max="19" width="12" style="40" customWidth="1"/>
    <col min="20" max="24" width="10.83203125" style="38"/>
    <col min="25" max="25" width="1.1640625" style="20" customWidth="1"/>
    <col min="26" max="26" width="18.5" style="11" customWidth="1"/>
    <col min="27" max="27" width="19.5" style="54" customWidth="1"/>
    <col min="28" max="28" width="23.6640625" style="12" customWidth="1"/>
    <col min="29" max="16384" width="10.83203125" style="11"/>
  </cols>
  <sheetData>
    <row r="1" spans="1:30" s="3" customFormat="1">
      <c r="A1" s="14" t="s">
        <v>61</v>
      </c>
      <c r="E1" s="20"/>
      <c r="F1" s="5" t="s">
        <v>11</v>
      </c>
      <c r="G1" s="6"/>
      <c r="H1" s="44">
        <f>SUM(H6:H62)</f>
        <v>16279</v>
      </c>
      <c r="I1" s="44"/>
      <c r="J1" s="7">
        <f>SUM(J6:J62)</f>
        <v>156.03700000000001</v>
      </c>
      <c r="K1" s="43">
        <f>AVERAGE(K6:K62)</f>
        <v>2.7779473684210525</v>
      </c>
      <c r="L1" s="7">
        <f>H1/J1</f>
        <v>104.32781968379294</v>
      </c>
      <c r="M1" s="7"/>
      <c r="N1" s="45">
        <f>SUM(N6:N62)</f>
        <v>1149.8</v>
      </c>
      <c r="O1" s="43">
        <f>AVERAGE(O6:O62)</f>
        <v>0.11543499999999995</v>
      </c>
      <c r="P1" s="43">
        <f>SUM(P6:P62)</f>
        <v>430.39937300000003</v>
      </c>
      <c r="Q1" s="43">
        <f>SUM(Q6:Q62)</f>
        <v>133.03185999999999</v>
      </c>
      <c r="R1" s="43">
        <f>SUM(R6:R62)</f>
        <v>563.43123300000013</v>
      </c>
      <c r="S1" s="74">
        <f>AVERAGE(S6:S62)</f>
        <v>4.7062953417901274E-2</v>
      </c>
      <c r="T1" s="43">
        <f>AVERAGE(T6:T62)</f>
        <v>4.7062953417901277</v>
      </c>
      <c r="U1" s="43">
        <f>AVERAGE(U6:U62)</f>
        <v>5.7229860365198713</v>
      </c>
      <c r="V1" s="43">
        <f>AVERAGE(V6:V62)</f>
        <v>77.123902255639109</v>
      </c>
      <c r="W1" s="43">
        <f>SUM(W6:W62)</f>
        <v>310.59001189795913</v>
      </c>
      <c r="X1" s="43">
        <f>SUM(X6:X62)</f>
        <v>966.10594557142861</v>
      </c>
      <c r="Y1" s="20"/>
      <c r="AA1" s="52"/>
      <c r="AB1" s="43"/>
    </row>
    <row r="2" spans="1:30" s="2" customFormat="1" ht="90" customHeight="1">
      <c r="A2" s="15" t="s">
        <v>17</v>
      </c>
      <c r="B2" s="15" t="s">
        <v>18</v>
      </c>
      <c r="C2" s="15" t="s">
        <v>63</v>
      </c>
      <c r="D2" s="18" t="s">
        <v>19</v>
      </c>
      <c r="E2" s="19"/>
      <c r="F2" s="1" t="s">
        <v>0</v>
      </c>
      <c r="G2" s="4" t="s">
        <v>8</v>
      </c>
      <c r="H2" s="1" t="s">
        <v>1</v>
      </c>
      <c r="I2" s="42" t="s">
        <v>127</v>
      </c>
      <c r="J2" s="42" t="s">
        <v>2</v>
      </c>
      <c r="K2" s="42" t="s">
        <v>4</v>
      </c>
      <c r="L2" s="42" t="s">
        <v>3</v>
      </c>
      <c r="M2" s="42" t="s">
        <v>122</v>
      </c>
      <c r="N2" s="42" t="s">
        <v>7</v>
      </c>
      <c r="O2" s="46" t="s">
        <v>12</v>
      </c>
      <c r="P2" s="42" t="s">
        <v>6</v>
      </c>
      <c r="Q2" s="42" t="s">
        <v>9</v>
      </c>
      <c r="R2" s="42" t="s">
        <v>10</v>
      </c>
      <c r="S2" s="42" t="s">
        <v>62</v>
      </c>
      <c r="T2" s="42" t="s">
        <v>5</v>
      </c>
      <c r="U2" s="42" t="s">
        <v>14</v>
      </c>
      <c r="V2" s="42" t="s">
        <v>13</v>
      </c>
      <c r="W2" s="42" t="s">
        <v>15</v>
      </c>
      <c r="X2" s="42" t="s">
        <v>16</v>
      </c>
      <c r="Y2" s="59"/>
      <c r="Z2" s="55" t="s">
        <v>65</v>
      </c>
      <c r="AA2" s="53"/>
      <c r="AB2" s="51"/>
    </row>
    <row r="3" spans="1:30">
      <c r="A3" s="16" t="s">
        <v>20</v>
      </c>
      <c r="B3" s="9">
        <v>1781</v>
      </c>
      <c r="C3" s="9"/>
      <c r="D3" s="17">
        <v>59.2</v>
      </c>
      <c r="E3" s="21"/>
      <c r="F3" s="13">
        <v>43532</v>
      </c>
      <c r="G3" s="9">
        <v>22937</v>
      </c>
      <c r="J3" s="10">
        <v>6.0149999999999997</v>
      </c>
      <c r="K3" s="12">
        <v>2.2690000000000001</v>
      </c>
      <c r="L3" s="38">
        <f t="shared" ref="L3:L6" si="0">H3/J3</f>
        <v>0</v>
      </c>
      <c r="N3" s="11">
        <v>0</v>
      </c>
      <c r="O3" s="47">
        <v>0.112</v>
      </c>
      <c r="P3" s="41">
        <f>J3*K3</f>
        <v>13.648035</v>
      </c>
      <c r="Q3" s="41">
        <f>N3*O3</f>
        <v>0</v>
      </c>
      <c r="R3" s="41">
        <f t="shared" ref="R3:R6" si="1">P3+Q3</f>
        <v>13.648035</v>
      </c>
      <c r="S3" s="40" t="str">
        <f>IF(H3&lt;&gt;"",R3/H3,"")</f>
        <v/>
      </c>
      <c r="T3" s="41" t="str">
        <f>IF(S3&lt;&gt;"",S3*100,"")</f>
        <v/>
      </c>
      <c r="U3" s="41" t="str">
        <f>IF(H3&lt;&gt;"",(K2/49)*100,"")</f>
        <v/>
      </c>
      <c r="V3" s="41" t="str">
        <f>IF(H3&lt;&gt;"",(P2/28)*100,"")</f>
        <v/>
      </c>
      <c r="W3" s="41"/>
      <c r="X3" s="41"/>
      <c r="Z3" s="56" t="s">
        <v>130</v>
      </c>
      <c r="AA3" s="56" t="s">
        <v>140</v>
      </c>
      <c r="AB3" s="57" t="s">
        <v>66</v>
      </c>
      <c r="AC3" s="56" t="s">
        <v>67</v>
      </c>
    </row>
    <row r="4" spans="1:30">
      <c r="A4" s="16" t="s">
        <v>21</v>
      </c>
      <c r="B4" s="9">
        <v>929</v>
      </c>
      <c r="C4" s="9"/>
      <c r="D4" s="17">
        <v>81.099999999999994</v>
      </c>
      <c r="E4" s="21"/>
      <c r="F4" s="13">
        <v>43533</v>
      </c>
      <c r="G4" s="9">
        <v>23039</v>
      </c>
      <c r="H4" s="37">
        <f t="shared" ref="H4" si="2">G4-G3</f>
        <v>102</v>
      </c>
      <c r="J4" s="10">
        <v>5.5259999999999998</v>
      </c>
      <c r="K4" s="12">
        <v>2.3889999999999998</v>
      </c>
      <c r="L4" s="38">
        <f t="shared" si="0"/>
        <v>18.458197611292075</v>
      </c>
      <c r="N4" s="11">
        <v>4.758</v>
      </c>
      <c r="O4" s="47">
        <v>0.112</v>
      </c>
      <c r="P4" s="41">
        <f>J4*K4</f>
        <v>13.201613999999998</v>
      </c>
      <c r="Q4" s="41">
        <f>N4*O4</f>
        <v>0.53289600000000004</v>
      </c>
      <c r="R4" s="41">
        <f t="shared" si="1"/>
        <v>13.734509999999997</v>
      </c>
      <c r="S4" s="40">
        <f>R4/H4</f>
        <v>0.13465205882352937</v>
      </c>
      <c r="T4" s="41">
        <f>S4*100</f>
        <v>13.465205882352937</v>
      </c>
      <c r="U4" s="38">
        <f>(((H4/49)*K4)/H4)*100</f>
        <v>4.8755102040816327</v>
      </c>
      <c r="V4" s="38">
        <f>(((H4/28)*K4)/H4)*100</f>
        <v>8.5321428571428566</v>
      </c>
      <c r="W4" s="41">
        <f>((H4/49)*K4)-R4</f>
        <v>-8.7614895918367317</v>
      </c>
      <c r="X4" s="41">
        <f>((H4/28)*K4)-R4</f>
        <v>-5.031724285714283</v>
      </c>
      <c r="Z4" s="50">
        <v>43531</v>
      </c>
      <c r="AA4" s="58">
        <v>22937</v>
      </c>
      <c r="AB4" s="66" t="s">
        <v>69</v>
      </c>
      <c r="AC4" s="12">
        <f>24895+399+917.64+95</f>
        <v>26306.639999999999</v>
      </c>
      <c r="AD4" s="11" t="s">
        <v>70</v>
      </c>
    </row>
    <row r="5" spans="1:30">
      <c r="A5" s="16" t="s">
        <v>22</v>
      </c>
      <c r="B5" s="9">
        <v>1030</v>
      </c>
      <c r="C5" s="9"/>
      <c r="D5" s="17">
        <v>52.2</v>
      </c>
      <c r="E5" s="21"/>
      <c r="F5" s="69" t="s">
        <v>60</v>
      </c>
      <c r="G5" s="34"/>
      <c r="H5" s="34"/>
      <c r="I5" s="34"/>
      <c r="J5" s="34"/>
      <c r="K5" s="34"/>
      <c r="L5" s="34"/>
      <c r="M5" s="34"/>
      <c r="N5" s="34"/>
      <c r="O5" s="48"/>
      <c r="P5" s="34"/>
      <c r="Q5" s="34"/>
      <c r="R5" s="34"/>
      <c r="S5" s="34"/>
      <c r="T5" s="34"/>
      <c r="U5" s="34"/>
      <c r="V5" s="34"/>
      <c r="W5" s="34"/>
      <c r="X5" s="34"/>
      <c r="Z5" s="50">
        <v>43574</v>
      </c>
      <c r="AA5" s="58">
        <v>24803</v>
      </c>
      <c r="AB5" s="54" t="s">
        <v>68</v>
      </c>
      <c r="AC5" s="12">
        <v>508</v>
      </c>
    </row>
    <row r="6" spans="1:30">
      <c r="A6" s="16" t="s">
        <v>23</v>
      </c>
      <c r="B6" s="9">
        <v>586</v>
      </c>
      <c r="C6" s="9"/>
      <c r="D6" s="17">
        <v>47.8</v>
      </c>
      <c r="E6" s="21"/>
      <c r="F6" s="13">
        <v>43587</v>
      </c>
      <c r="G6" s="9">
        <v>25319</v>
      </c>
      <c r="H6" s="37">
        <f>G6-G4</f>
        <v>2280</v>
      </c>
      <c r="J6" s="10">
        <v>5.8109999999999999</v>
      </c>
      <c r="K6" s="12">
        <v>2.899</v>
      </c>
      <c r="L6" s="38">
        <f t="shared" si="0"/>
        <v>392.35931853381516</v>
      </c>
      <c r="N6" s="11">
        <v>242</v>
      </c>
      <c r="O6" s="47">
        <v>0.1157</v>
      </c>
      <c r="P6" s="41">
        <f>J6*K6</f>
        <v>16.846088999999999</v>
      </c>
      <c r="Q6" s="41">
        <f>N6*O6</f>
        <v>27.999399999999998</v>
      </c>
      <c r="R6" s="41">
        <f t="shared" si="1"/>
        <v>44.845489000000001</v>
      </c>
      <c r="S6" s="40">
        <f>R6/H6</f>
        <v>1.9669074122807016E-2</v>
      </c>
      <c r="T6" s="41">
        <f>S6*100</f>
        <v>1.9669074122807015</v>
      </c>
      <c r="U6" s="41">
        <f>(K6/49)*100</f>
        <v>5.9163265306122446</v>
      </c>
      <c r="V6" s="41">
        <f>(K6/28)*100</f>
        <v>10.353571428571428</v>
      </c>
      <c r="W6" s="41">
        <f>((H6/49)*K6)-R6</f>
        <v>90.046755897959187</v>
      </c>
      <c r="X6" s="41">
        <f t="shared" ref="X6:X24" si="3">((H6/28)*K6)-R6</f>
        <v>191.21593957142858</v>
      </c>
      <c r="Z6" s="50">
        <v>43620</v>
      </c>
      <c r="AA6" s="58">
        <v>31667</v>
      </c>
      <c r="AB6" s="66" t="s">
        <v>120</v>
      </c>
      <c r="AC6" s="12">
        <v>8.76</v>
      </c>
    </row>
    <row r="7" spans="1:30">
      <c r="A7" s="16" t="s">
        <v>24</v>
      </c>
      <c r="B7" s="9">
        <v>892</v>
      </c>
      <c r="C7" s="9"/>
      <c r="D7" s="17">
        <v>54.4</v>
      </c>
      <c r="E7" s="21"/>
      <c r="F7" s="13">
        <v>43588</v>
      </c>
      <c r="G7" s="9">
        <v>25754</v>
      </c>
      <c r="H7" s="37">
        <f>IF(G7&lt;&gt;"",G7-G6,"")</f>
        <v>435</v>
      </c>
      <c r="J7" s="10">
        <v>8.2439999999999998</v>
      </c>
      <c r="K7" s="12">
        <v>2.899</v>
      </c>
      <c r="L7" s="38">
        <f>IF(H7&lt;&gt;"",H7/J7,"")</f>
        <v>52.765647743813687</v>
      </c>
      <c r="M7" s="38">
        <v>54.8</v>
      </c>
      <c r="N7" s="11">
        <v>2.8</v>
      </c>
      <c r="O7" s="47">
        <v>0.1157</v>
      </c>
      <c r="P7" s="41">
        <f>IF(K7&lt;&gt;"",K7*J7,"")</f>
        <v>23.899356000000001</v>
      </c>
      <c r="Q7" s="41">
        <f t="shared" ref="Q7:Q25" si="4">IF(N7&lt;&gt;"",N7*O7,"")</f>
        <v>0.32395999999999997</v>
      </c>
      <c r="R7" s="41">
        <f>IF(P7&lt;&gt;"",P7+Q7,"")</f>
        <v>24.223316000000001</v>
      </c>
      <c r="S7" s="40">
        <f>R7/H7</f>
        <v>5.5685783908045981E-2</v>
      </c>
      <c r="T7" s="41">
        <f>IF(S7&lt;&gt;"",S7*100,"")</f>
        <v>5.568578390804598</v>
      </c>
      <c r="U7" s="41">
        <f t="shared" ref="U7:U27" si="5">IF(K7&lt;&gt;"",(K6/49)*100,"")</f>
        <v>5.9163265306122446</v>
      </c>
      <c r="V7" s="41">
        <f t="shared" ref="V7:V27" si="6">IF(P7&lt;&gt;"",(P6/28)*100,"")</f>
        <v>60.164603571428565</v>
      </c>
      <c r="W7" s="41">
        <f t="shared" ref="W7:W27" si="7">IF(V7&lt;&gt;"",((H7/49)*K7)-R7,"")</f>
        <v>1.5127044081632626</v>
      </c>
      <c r="X7" s="41">
        <f t="shared" si="3"/>
        <v>20.814719714285719</v>
      </c>
      <c r="Z7" s="50">
        <v>43620</v>
      </c>
      <c r="AA7" s="58">
        <v>31667</v>
      </c>
      <c r="AB7" s="66" t="s">
        <v>121</v>
      </c>
      <c r="AC7" s="12">
        <v>17.11</v>
      </c>
    </row>
    <row r="8" spans="1:30">
      <c r="A8" s="16" t="s">
        <v>25</v>
      </c>
      <c r="B8" s="9">
        <v>733</v>
      </c>
      <c r="C8" s="9"/>
      <c r="D8" s="17">
        <v>58.9</v>
      </c>
      <c r="E8" s="21"/>
      <c r="F8" s="13">
        <v>43589</v>
      </c>
      <c r="G8" s="9">
        <v>26178</v>
      </c>
      <c r="H8" s="37">
        <f t="shared" ref="H8:H35" si="8">IF(G8&lt;&gt;"",G8-G7,"")</f>
        <v>424</v>
      </c>
      <c r="J8" s="10">
        <v>8.7210000000000001</v>
      </c>
      <c r="K8" s="12">
        <v>2.419</v>
      </c>
      <c r="L8" s="38">
        <f t="shared" ref="L8:L26" si="9">IF(H8&lt;&gt;"",H8/J8,"")</f>
        <v>48.618277720444901</v>
      </c>
      <c r="N8" s="11">
        <v>0</v>
      </c>
      <c r="O8" s="47">
        <v>0.1157</v>
      </c>
      <c r="P8" s="41">
        <f t="shared" ref="P8:P17" si="10">IF(K8&lt;&gt;"",K8*J8,"")</f>
        <v>21.096098999999999</v>
      </c>
      <c r="Q8" s="41">
        <f t="shared" si="4"/>
        <v>0</v>
      </c>
      <c r="R8" s="41">
        <f>IF(P8&lt;&gt;"",P8+Q8,"")</f>
        <v>21.096098999999999</v>
      </c>
      <c r="S8" s="40">
        <f>R8/H8</f>
        <v>4.975495047169811E-2</v>
      </c>
      <c r="T8" s="41">
        <f>IF(S8&lt;&gt;"",S8*100,"")</f>
        <v>4.9754950471698107</v>
      </c>
      <c r="U8" s="41">
        <f t="shared" si="5"/>
        <v>5.9163265306122446</v>
      </c>
      <c r="V8" s="41">
        <f t="shared" si="6"/>
        <v>85.35484285714287</v>
      </c>
      <c r="W8" s="41">
        <f t="shared" si="7"/>
        <v>-0.16434389795918136</v>
      </c>
      <c r="X8" s="41">
        <f t="shared" si="3"/>
        <v>15.53447242857143</v>
      </c>
      <c r="Z8" s="50">
        <v>43651</v>
      </c>
      <c r="AA8" s="58">
        <v>37656</v>
      </c>
      <c r="AB8" s="66" t="s">
        <v>124</v>
      </c>
      <c r="AC8" s="12">
        <v>48.97</v>
      </c>
    </row>
    <row r="9" spans="1:30">
      <c r="A9" s="16" t="s">
        <v>26</v>
      </c>
      <c r="B9" s="9">
        <v>1317</v>
      </c>
      <c r="C9" s="9"/>
      <c r="D9" s="17">
        <v>49.3</v>
      </c>
      <c r="E9" s="21"/>
      <c r="F9" s="13">
        <v>43591</v>
      </c>
      <c r="G9" s="9">
        <v>26609</v>
      </c>
      <c r="H9" s="37">
        <f t="shared" si="8"/>
        <v>431</v>
      </c>
      <c r="J9" s="10">
        <v>8.234</v>
      </c>
      <c r="K9" s="12">
        <v>2.5990000000000002</v>
      </c>
      <c r="L9" s="38">
        <f t="shared" si="9"/>
        <v>52.343939761962595</v>
      </c>
      <c r="M9" s="38">
        <v>55.4</v>
      </c>
      <c r="N9" s="11">
        <v>0</v>
      </c>
      <c r="O9" s="47">
        <v>0.1157</v>
      </c>
      <c r="P9" s="41">
        <f t="shared" si="10"/>
        <v>21.400166000000002</v>
      </c>
      <c r="Q9" s="41">
        <f t="shared" si="4"/>
        <v>0</v>
      </c>
      <c r="R9" s="41">
        <f>IF(P9&lt;&gt;"",P9+Q9,"")</f>
        <v>21.400166000000002</v>
      </c>
      <c r="S9" s="40">
        <f>R9/H9</f>
        <v>4.9652357308584694E-2</v>
      </c>
      <c r="T9" s="41">
        <f>IF(S9&lt;&gt;"",S9*100,"")</f>
        <v>4.9652357308584696</v>
      </c>
      <c r="U9" s="41">
        <f t="shared" si="5"/>
        <v>4.9367346938775505</v>
      </c>
      <c r="V9" s="41">
        <f t="shared" si="6"/>
        <v>75.343210714285718</v>
      </c>
      <c r="W9" s="41">
        <f t="shared" si="7"/>
        <v>1.460425836734693</v>
      </c>
      <c r="X9" s="41">
        <f t="shared" si="3"/>
        <v>18.605869714285713</v>
      </c>
      <c r="Z9" s="50">
        <v>43819</v>
      </c>
      <c r="AA9" s="58">
        <v>39735</v>
      </c>
      <c r="AB9" s="66" t="s">
        <v>129</v>
      </c>
      <c r="AC9" s="12">
        <v>37.85</v>
      </c>
    </row>
    <row r="10" spans="1:30">
      <c r="A10" s="16" t="s">
        <v>27</v>
      </c>
      <c r="B10" s="9">
        <v>919</v>
      </c>
      <c r="C10" s="9"/>
      <c r="D10" s="17">
        <v>44.6</v>
      </c>
      <c r="E10" s="21"/>
      <c r="F10" s="13">
        <v>43592</v>
      </c>
      <c r="G10" s="9">
        <v>27018</v>
      </c>
      <c r="H10" s="37">
        <f t="shared" si="8"/>
        <v>409</v>
      </c>
      <c r="J10" s="10">
        <v>8.5310000000000006</v>
      </c>
      <c r="K10" s="12">
        <v>2.9889999999999999</v>
      </c>
      <c r="L10" s="38">
        <f t="shared" si="9"/>
        <v>47.942796858515997</v>
      </c>
      <c r="M10" s="38">
        <v>50.1</v>
      </c>
      <c r="N10" s="11">
        <v>0</v>
      </c>
      <c r="O10" s="47">
        <v>0.1157</v>
      </c>
      <c r="P10" s="41">
        <f t="shared" si="10"/>
        <v>25.499159000000002</v>
      </c>
      <c r="Q10" s="41">
        <f t="shared" si="4"/>
        <v>0</v>
      </c>
      <c r="R10" s="41">
        <f>IF(P10&lt;&gt;"",P10+Q10,"")</f>
        <v>25.499159000000002</v>
      </c>
      <c r="S10" s="40">
        <f>R10/H10</f>
        <v>6.2345132029339861E-2</v>
      </c>
      <c r="T10" s="41">
        <f>IF(S10&lt;&gt;"",S10*100,"")</f>
        <v>6.2345132029339858</v>
      </c>
      <c r="U10" s="41">
        <f t="shared" si="5"/>
        <v>5.3040816326530615</v>
      </c>
      <c r="V10" s="41">
        <f t="shared" si="6"/>
        <v>76.429164285714293</v>
      </c>
      <c r="W10" s="41">
        <f t="shared" si="7"/>
        <v>-0.55015900000000428</v>
      </c>
      <c r="X10" s="41">
        <f t="shared" si="3"/>
        <v>18.161590999999998</v>
      </c>
      <c r="Z10" s="50">
        <v>43889</v>
      </c>
      <c r="AA10" s="58">
        <v>41828</v>
      </c>
      <c r="AB10" s="66" t="s">
        <v>141</v>
      </c>
      <c r="AC10" s="12">
        <v>129.94999999999999</v>
      </c>
    </row>
    <row r="11" spans="1:30">
      <c r="A11" s="16" t="s">
        <v>28</v>
      </c>
      <c r="B11" s="9">
        <v>597</v>
      </c>
      <c r="C11" s="9"/>
      <c r="D11" s="17">
        <v>40.6</v>
      </c>
      <c r="E11" s="21"/>
      <c r="F11" s="13">
        <v>43592</v>
      </c>
      <c r="G11" s="9">
        <v>27313</v>
      </c>
      <c r="H11" s="37">
        <f t="shared" si="8"/>
        <v>295</v>
      </c>
      <c r="J11" s="10">
        <v>5.89</v>
      </c>
      <c r="K11" s="12">
        <v>3.9990000000000001</v>
      </c>
      <c r="L11" s="38">
        <f t="shared" si="9"/>
        <v>50.084889643463498</v>
      </c>
      <c r="M11" s="38">
        <v>52.4</v>
      </c>
      <c r="N11" s="11">
        <v>0</v>
      </c>
      <c r="O11" s="47">
        <v>0.1157</v>
      </c>
      <c r="P11" s="41">
        <f t="shared" si="10"/>
        <v>23.554109999999998</v>
      </c>
      <c r="Q11" s="41">
        <f t="shared" si="4"/>
        <v>0</v>
      </c>
      <c r="R11" s="41">
        <f>IF(P11&lt;&gt;"",P11+Q11,"")</f>
        <v>23.554109999999998</v>
      </c>
      <c r="S11" s="40">
        <f t="shared" ref="S11:S21" si="11">R11/H11</f>
        <v>7.9844440677966089E-2</v>
      </c>
      <c r="T11" s="41">
        <f t="shared" ref="T11:T24" si="12">IF(S11&lt;&gt;"",S11*100,"")</f>
        <v>7.9844440677966091</v>
      </c>
      <c r="U11" s="41">
        <f t="shared" si="5"/>
        <v>6.1</v>
      </c>
      <c r="V11" s="41">
        <f t="shared" si="6"/>
        <v>91.068425000000005</v>
      </c>
      <c r="W11" s="41">
        <f t="shared" si="7"/>
        <v>0.5215022448979596</v>
      </c>
      <c r="X11" s="41">
        <f t="shared" si="3"/>
        <v>18.578211428571432</v>
      </c>
      <c r="Z11" s="50">
        <v>43889</v>
      </c>
      <c r="AA11" s="58">
        <v>41828</v>
      </c>
      <c r="AB11" s="66" t="s">
        <v>142</v>
      </c>
      <c r="AC11" s="12">
        <v>160.94999999999999</v>
      </c>
      <c r="AD11" s="11">
        <f>SUM(AC5:AC11)</f>
        <v>911.59000000000015</v>
      </c>
    </row>
    <row r="12" spans="1:30">
      <c r="A12" s="16" t="s">
        <v>29</v>
      </c>
      <c r="B12" s="9">
        <v>619</v>
      </c>
      <c r="C12" s="9"/>
      <c r="D12" s="17">
        <v>40.200000000000003</v>
      </c>
      <c r="E12" s="21"/>
      <c r="F12" s="13">
        <v>43596</v>
      </c>
      <c r="G12" s="9">
        <v>27917</v>
      </c>
      <c r="H12" s="37">
        <f t="shared" si="8"/>
        <v>604</v>
      </c>
      <c r="J12" s="10">
        <v>10.263999999999999</v>
      </c>
      <c r="K12" s="12">
        <v>3.2789999999999999</v>
      </c>
      <c r="L12" s="38">
        <f t="shared" si="9"/>
        <v>58.846453624318009</v>
      </c>
      <c r="M12" s="38">
        <v>62.3</v>
      </c>
      <c r="N12" s="11">
        <v>0</v>
      </c>
      <c r="O12" s="47">
        <v>0.1157</v>
      </c>
      <c r="P12" s="41">
        <f t="shared" si="10"/>
        <v>33.655656</v>
      </c>
      <c r="Q12" s="41">
        <f t="shared" si="4"/>
        <v>0</v>
      </c>
      <c r="R12" s="41">
        <f t="shared" ref="R12:R24" si="13">IF(P12&lt;&gt;"",P12+Q12,"")</f>
        <v>33.655656</v>
      </c>
      <c r="S12" s="40">
        <f t="shared" si="11"/>
        <v>5.5721284768211921E-2</v>
      </c>
      <c r="T12" s="41">
        <f t="shared" si="12"/>
        <v>5.5721284768211916</v>
      </c>
      <c r="U12" s="41">
        <f t="shared" si="5"/>
        <v>8.1612244897959183</v>
      </c>
      <c r="V12" s="41">
        <f t="shared" si="6"/>
        <v>84.121821428571423</v>
      </c>
      <c r="W12" s="41">
        <f t="shared" si="7"/>
        <v>6.7630378775510209</v>
      </c>
      <c r="X12" s="41">
        <f t="shared" si="3"/>
        <v>37.077058285714294</v>
      </c>
      <c r="Z12" s="50"/>
      <c r="AA12" s="58"/>
      <c r="AB12" s="66"/>
    </row>
    <row r="13" spans="1:30">
      <c r="A13" s="16" t="s">
        <v>30</v>
      </c>
      <c r="B13" s="9">
        <v>599</v>
      </c>
      <c r="C13" s="9"/>
      <c r="D13" s="17">
        <v>37.299999999999997</v>
      </c>
      <c r="E13" s="21"/>
      <c r="F13" s="13">
        <v>43597</v>
      </c>
      <c r="G13" s="9">
        <v>28438</v>
      </c>
      <c r="H13" s="37">
        <f t="shared" si="8"/>
        <v>521</v>
      </c>
      <c r="J13" s="10">
        <v>8.4619999999999997</v>
      </c>
      <c r="K13" s="12">
        <v>3.5990000000000002</v>
      </c>
      <c r="L13" s="38">
        <f t="shared" si="9"/>
        <v>61.569368943512174</v>
      </c>
      <c r="M13" s="38">
        <v>62</v>
      </c>
      <c r="N13" s="11">
        <v>0</v>
      </c>
      <c r="O13" s="47">
        <v>0.1157</v>
      </c>
      <c r="P13" s="41">
        <f t="shared" si="10"/>
        <v>30.454738000000003</v>
      </c>
      <c r="Q13" s="41">
        <f t="shared" si="4"/>
        <v>0</v>
      </c>
      <c r="R13" s="41">
        <f t="shared" si="13"/>
        <v>30.454738000000003</v>
      </c>
      <c r="S13" s="40">
        <f t="shared" si="11"/>
        <v>5.8454391554702501E-2</v>
      </c>
      <c r="T13" s="41">
        <f t="shared" si="12"/>
        <v>5.8454391554702498</v>
      </c>
      <c r="U13" s="41">
        <f t="shared" si="5"/>
        <v>6.6918367346938776</v>
      </c>
      <c r="V13" s="41">
        <f t="shared" si="6"/>
        <v>120.19877142857143</v>
      </c>
      <c r="W13" s="41">
        <f t="shared" si="7"/>
        <v>7.8121803673469365</v>
      </c>
      <c r="X13" s="41">
        <f t="shared" si="3"/>
        <v>36.512369142857139</v>
      </c>
      <c r="Z13" s="50"/>
      <c r="AA13" s="58"/>
      <c r="AB13" s="66"/>
    </row>
    <row r="14" spans="1:30">
      <c r="A14" s="16" t="s">
        <v>31</v>
      </c>
      <c r="B14" s="9">
        <v>1027</v>
      </c>
      <c r="C14" s="9"/>
      <c r="D14" s="17">
        <v>46.2</v>
      </c>
      <c r="E14" s="21"/>
      <c r="F14" s="13">
        <v>43601</v>
      </c>
      <c r="G14" s="9">
        <v>28953</v>
      </c>
      <c r="H14" s="37">
        <f t="shared" si="8"/>
        <v>515</v>
      </c>
      <c r="J14" s="10">
        <v>7.8559999999999999</v>
      </c>
      <c r="K14" s="12">
        <v>3.0489999999999999</v>
      </c>
      <c r="L14" s="38">
        <f t="shared" si="9"/>
        <v>65.554989816700612</v>
      </c>
      <c r="M14" s="38">
        <v>65.5</v>
      </c>
      <c r="N14" s="11">
        <v>0</v>
      </c>
      <c r="O14" s="47">
        <v>0.1157</v>
      </c>
      <c r="P14" s="41">
        <f t="shared" si="10"/>
        <v>23.952943999999999</v>
      </c>
      <c r="Q14" s="41">
        <f t="shared" si="4"/>
        <v>0</v>
      </c>
      <c r="R14" s="41">
        <f t="shared" si="13"/>
        <v>23.952943999999999</v>
      </c>
      <c r="S14" s="40">
        <f t="shared" si="11"/>
        <v>4.6510570873786405E-2</v>
      </c>
      <c r="T14" s="41">
        <f t="shared" si="12"/>
        <v>4.651057087378641</v>
      </c>
      <c r="U14" s="41">
        <f t="shared" si="5"/>
        <v>7.3448979591836743</v>
      </c>
      <c r="V14" s="41">
        <f t="shared" si="6"/>
        <v>108.76692142857142</v>
      </c>
      <c r="W14" s="41">
        <f t="shared" si="7"/>
        <v>8.0926682448979612</v>
      </c>
      <c r="X14" s="41">
        <f t="shared" si="3"/>
        <v>32.126877428571433</v>
      </c>
      <c r="Z14" s="50"/>
      <c r="AA14" s="58"/>
    </row>
    <row r="15" spans="1:30">
      <c r="A15" s="16" t="s">
        <v>32</v>
      </c>
      <c r="B15" s="9">
        <v>865</v>
      </c>
      <c r="C15" s="9"/>
      <c r="D15" s="17">
        <v>50.2</v>
      </c>
      <c r="E15" s="21"/>
      <c r="F15" s="13">
        <v>43605</v>
      </c>
      <c r="G15" s="9">
        <v>29330</v>
      </c>
      <c r="H15" s="37">
        <f t="shared" si="8"/>
        <v>377</v>
      </c>
      <c r="J15" s="10">
        <v>7.202</v>
      </c>
      <c r="K15" s="12">
        <v>2.7490000000000001</v>
      </c>
      <c r="L15" s="38">
        <f t="shared" si="9"/>
        <v>52.346570397111911</v>
      </c>
      <c r="M15" s="38">
        <v>54.3</v>
      </c>
      <c r="N15" s="11">
        <v>0</v>
      </c>
      <c r="O15" s="47">
        <v>0.1157</v>
      </c>
      <c r="P15" s="41">
        <f t="shared" si="10"/>
        <v>19.798297999999999</v>
      </c>
      <c r="Q15" s="41">
        <f t="shared" si="4"/>
        <v>0</v>
      </c>
      <c r="R15" s="41">
        <f t="shared" si="13"/>
        <v>19.798297999999999</v>
      </c>
      <c r="S15" s="40">
        <f t="shared" si="11"/>
        <v>5.2515379310344827E-2</v>
      </c>
      <c r="T15" s="41">
        <f t="shared" si="12"/>
        <v>5.2515379310344823</v>
      </c>
      <c r="U15" s="41">
        <f t="shared" si="5"/>
        <v>6.222448979591837</v>
      </c>
      <c r="V15" s="41">
        <f t="shared" si="6"/>
        <v>85.546228571428557</v>
      </c>
      <c r="W15" s="41">
        <f t="shared" si="7"/>
        <v>1.3521713877551065</v>
      </c>
      <c r="X15" s="41">
        <f t="shared" si="3"/>
        <v>17.215023428571431</v>
      </c>
      <c r="Z15" s="50"/>
      <c r="AA15" s="58"/>
      <c r="AC15" s="12">
        <v>17000</v>
      </c>
      <c r="AD15" s="11" t="s">
        <v>143</v>
      </c>
    </row>
    <row r="16" spans="1:30">
      <c r="A16" s="16" t="s">
        <v>33</v>
      </c>
      <c r="B16" s="9">
        <v>1260</v>
      </c>
      <c r="C16" s="9"/>
      <c r="D16" s="17">
        <v>49.2</v>
      </c>
      <c r="E16" s="21"/>
      <c r="F16" s="13">
        <v>43606</v>
      </c>
      <c r="G16" s="9">
        <v>29695</v>
      </c>
      <c r="H16" s="37">
        <f t="shared" si="8"/>
        <v>365</v>
      </c>
      <c r="J16" s="10">
        <v>8.6869999999999994</v>
      </c>
      <c r="K16" s="12">
        <v>2.6989999999999998</v>
      </c>
      <c r="L16" s="38">
        <f t="shared" si="9"/>
        <v>42.016806722689076</v>
      </c>
      <c r="N16" s="11">
        <v>0</v>
      </c>
      <c r="O16" s="47">
        <v>0.1157</v>
      </c>
      <c r="P16" s="41">
        <f t="shared" si="10"/>
        <v>23.446212999999997</v>
      </c>
      <c r="Q16" s="41">
        <f t="shared" si="4"/>
        <v>0</v>
      </c>
      <c r="R16" s="41">
        <f t="shared" si="13"/>
        <v>23.446212999999997</v>
      </c>
      <c r="S16" s="40">
        <f t="shared" si="11"/>
        <v>6.4236199999999993E-2</v>
      </c>
      <c r="T16" s="41">
        <f t="shared" si="12"/>
        <v>6.4236199999999997</v>
      </c>
      <c r="U16" s="41">
        <f t="shared" si="5"/>
        <v>5.6102040816326531</v>
      </c>
      <c r="V16" s="41">
        <f t="shared" si="6"/>
        <v>70.708207142857134</v>
      </c>
      <c r="W16" s="41">
        <f t="shared" si="7"/>
        <v>-3.3414170816326489</v>
      </c>
      <c r="X16" s="41">
        <f t="shared" si="3"/>
        <v>11.737179857142859</v>
      </c>
      <c r="Z16" s="60" t="s">
        <v>73</v>
      </c>
      <c r="AA16" s="58"/>
      <c r="AB16" s="12">
        <f>SUM(AC4:AC13)+R1</f>
        <v>27781.661232999999</v>
      </c>
      <c r="AC16" s="11">
        <f>AB16-AC15</f>
        <v>10781.661232999999</v>
      </c>
    </row>
    <row r="17" spans="1:29">
      <c r="A17" s="16" t="s">
        <v>34</v>
      </c>
      <c r="B17" s="9">
        <v>651</v>
      </c>
      <c r="C17" s="9"/>
      <c r="D17" s="17">
        <v>45.2</v>
      </c>
      <c r="E17" s="21"/>
      <c r="F17" s="13">
        <v>43607</v>
      </c>
      <c r="G17" s="9">
        <v>30058</v>
      </c>
      <c r="H17" s="37">
        <f t="shared" si="8"/>
        <v>363</v>
      </c>
      <c r="J17" s="10">
        <v>7.774</v>
      </c>
      <c r="K17" s="12">
        <v>2.4889999999999999</v>
      </c>
      <c r="L17" s="38">
        <f t="shared" si="9"/>
        <v>46.694108567018269</v>
      </c>
      <c r="M17" s="38">
        <v>46.4</v>
      </c>
      <c r="N17" s="11">
        <v>0</v>
      </c>
      <c r="O17" s="47">
        <v>0.1157</v>
      </c>
      <c r="P17" s="41">
        <f t="shared" si="10"/>
        <v>19.349485999999999</v>
      </c>
      <c r="Q17" s="41">
        <f t="shared" si="4"/>
        <v>0</v>
      </c>
      <c r="R17" s="41">
        <f t="shared" si="13"/>
        <v>19.349485999999999</v>
      </c>
      <c r="S17" s="40">
        <f t="shared" si="11"/>
        <v>5.3304369146005504E-2</v>
      </c>
      <c r="T17" s="41">
        <f t="shared" si="12"/>
        <v>5.3304369146005506</v>
      </c>
      <c r="U17" s="41">
        <f t="shared" si="5"/>
        <v>5.5081632653061225</v>
      </c>
      <c r="V17" s="41">
        <f t="shared" si="6"/>
        <v>83.736474999999984</v>
      </c>
      <c r="W17" s="41">
        <f t="shared" si="7"/>
        <v>-0.91056763265306273</v>
      </c>
      <c r="X17" s="41">
        <f t="shared" si="3"/>
        <v>12.918621142857141</v>
      </c>
      <c r="Z17" s="60" t="s">
        <v>71</v>
      </c>
      <c r="AA17" s="58"/>
      <c r="AB17" s="12">
        <f>(AB16+R1)/H1</f>
        <v>1.7412059995085691</v>
      </c>
      <c r="AC17" s="12">
        <f>(AC16+R1)/H1</f>
        <v>0.69691580969347</v>
      </c>
    </row>
    <row r="18" spans="1:29">
      <c r="A18" s="16" t="s">
        <v>35</v>
      </c>
      <c r="B18" s="9">
        <v>413</v>
      </c>
      <c r="C18" s="9"/>
      <c r="D18" s="17">
        <v>45.7</v>
      </c>
      <c r="E18" s="21"/>
      <c r="F18" s="13">
        <v>43607</v>
      </c>
      <c r="G18" s="9">
        <v>30443</v>
      </c>
      <c r="H18" s="37">
        <f t="shared" si="8"/>
        <v>385</v>
      </c>
      <c r="J18" s="10">
        <v>7.9039999999999999</v>
      </c>
      <c r="K18" s="12">
        <v>2.4990000000000001</v>
      </c>
      <c r="L18" s="38">
        <f t="shared" si="9"/>
        <v>48.709514170040485</v>
      </c>
      <c r="M18" s="38">
        <v>49.6</v>
      </c>
      <c r="N18" s="11">
        <v>0</v>
      </c>
      <c r="O18" s="47">
        <v>0.1157</v>
      </c>
      <c r="P18" s="41">
        <f>IF(K18&lt;&gt;"",K18*J18,"")</f>
        <v>19.752096000000002</v>
      </c>
      <c r="Q18" s="41">
        <f t="shared" si="4"/>
        <v>0</v>
      </c>
      <c r="R18" s="41">
        <f t="shared" si="13"/>
        <v>19.752096000000002</v>
      </c>
      <c r="S18" s="40">
        <f t="shared" si="11"/>
        <v>5.1304145454545459E-2</v>
      </c>
      <c r="T18" s="41">
        <f t="shared" si="12"/>
        <v>5.1304145454545456</v>
      </c>
      <c r="U18" s="41">
        <f t="shared" si="5"/>
        <v>5.0795918367346937</v>
      </c>
      <c r="V18" s="41">
        <f t="shared" si="6"/>
        <v>69.105307142857143</v>
      </c>
      <c r="W18" s="41">
        <f t="shared" si="7"/>
        <v>-0.11709600000000009</v>
      </c>
      <c r="X18" s="41">
        <f t="shared" si="3"/>
        <v>14.609153999999997</v>
      </c>
      <c r="AA18" s="58"/>
    </row>
    <row r="19" spans="1:29">
      <c r="A19" s="16" t="s">
        <v>36</v>
      </c>
      <c r="B19" s="9">
        <v>1100</v>
      </c>
      <c r="C19" s="9"/>
      <c r="D19" s="17">
        <v>48.4</v>
      </c>
      <c r="E19" s="21"/>
      <c r="F19" s="13">
        <v>43609</v>
      </c>
      <c r="G19" s="9">
        <v>30860</v>
      </c>
      <c r="H19" s="37">
        <f t="shared" si="8"/>
        <v>417</v>
      </c>
      <c r="J19" s="10">
        <v>8.3490000000000002</v>
      </c>
      <c r="K19" s="12">
        <v>2.6589999999999998</v>
      </c>
      <c r="L19" s="38">
        <f t="shared" si="9"/>
        <v>49.946101329500536</v>
      </c>
      <c r="M19" s="38">
        <v>53.6</v>
      </c>
      <c r="N19" s="11">
        <v>0</v>
      </c>
      <c r="O19" s="47">
        <v>0.1157</v>
      </c>
      <c r="P19" s="41">
        <f>IF(K19&lt;&gt;"",K19*J19,"")</f>
        <v>22.199991000000001</v>
      </c>
      <c r="Q19" s="41">
        <f t="shared" si="4"/>
        <v>0</v>
      </c>
      <c r="R19" s="41">
        <f t="shared" si="13"/>
        <v>22.199991000000001</v>
      </c>
      <c r="S19" s="40">
        <f t="shared" si="11"/>
        <v>5.3237388489208635E-2</v>
      </c>
      <c r="T19" s="41">
        <f t="shared" si="12"/>
        <v>5.3237388489208639</v>
      </c>
      <c r="U19" s="41">
        <f t="shared" si="5"/>
        <v>5.1000000000000005</v>
      </c>
      <c r="V19" s="41">
        <f t="shared" si="6"/>
        <v>70.543200000000013</v>
      </c>
      <c r="W19" s="41">
        <f t="shared" si="7"/>
        <v>0.42864165306122004</v>
      </c>
      <c r="X19" s="41">
        <f t="shared" si="3"/>
        <v>17.40011614285714</v>
      </c>
      <c r="AA19" s="58"/>
    </row>
    <row r="20" spans="1:29">
      <c r="A20" s="16" t="s">
        <v>37</v>
      </c>
      <c r="B20" s="9">
        <v>1285</v>
      </c>
      <c r="C20" s="9"/>
      <c r="D20" s="17">
        <v>45.6</v>
      </c>
      <c r="E20" s="21"/>
      <c r="F20" s="13">
        <v>43610</v>
      </c>
      <c r="G20" s="9">
        <v>31332</v>
      </c>
      <c r="H20" s="37">
        <f t="shared" si="8"/>
        <v>472</v>
      </c>
      <c r="J20" s="10">
        <v>8.4030000000000005</v>
      </c>
      <c r="K20" s="12">
        <v>2.4990000000000001</v>
      </c>
      <c r="L20" s="38">
        <f t="shared" si="9"/>
        <v>56.170415327859097</v>
      </c>
      <c r="M20" s="38">
        <v>58.6</v>
      </c>
      <c r="N20" s="11">
        <v>0</v>
      </c>
      <c r="O20" s="47">
        <v>0.1157</v>
      </c>
      <c r="P20" s="41">
        <f>IF(K20&lt;&gt;"",K20*J20,"")</f>
        <v>20.999097000000003</v>
      </c>
      <c r="Q20" s="41">
        <f t="shared" si="4"/>
        <v>0</v>
      </c>
      <c r="R20" s="41">
        <f t="shared" si="13"/>
        <v>20.999097000000003</v>
      </c>
      <c r="S20" s="40">
        <f t="shared" si="11"/>
        <v>4.4489612288135597E-2</v>
      </c>
      <c r="T20" s="41">
        <f t="shared" si="12"/>
        <v>4.4489612288135598</v>
      </c>
      <c r="U20" s="41">
        <f t="shared" si="5"/>
        <v>5.4265306122448971</v>
      </c>
      <c r="V20" s="41">
        <f t="shared" si="6"/>
        <v>79.285682142857155</v>
      </c>
      <c r="W20" s="41">
        <f t="shared" si="7"/>
        <v>3.0729030000000002</v>
      </c>
      <c r="X20" s="41">
        <f t="shared" si="3"/>
        <v>21.126903000000002</v>
      </c>
      <c r="AA20" s="58"/>
    </row>
    <row r="21" spans="1:29">
      <c r="A21" s="16" t="s">
        <v>38</v>
      </c>
      <c r="B21" s="9">
        <v>660</v>
      </c>
      <c r="C21" s="9"/>
      <c r="D21" s="17">
        <v>42.3</v>
      </c>
      <c r="E21" s="21"/>
      <c r="F21" s="13">
        <v>43693</v>
      </c>
      <c r="G21" s="9">
        <v>33947</v>
      </c>
      <c r="H21" s="37">
        <f t="shared" si="8"/>
        <v>2615</v>
      </c>
      <c r="J21" s="10">
        <v>9.8759999999999994</v>
      </c>
      <c r="K21" s="12">
        <v>2.359</v>
      </c>
      <c r="L21" s="37">
        <f t="shared" si="9"/>
        <v>264.78331308221954</v>
      </c>
      <c r="M21" s="37">
        <v>294</v>
      </c>
      <c r="N21" s="11">
        <v>342</v>
      </c>
      <c r="O21" s="47">
        <v>0.1157</v>
      </c>
      <c r="P21" s="41">
        <f t="shared" ref="P21:P31" si="14">IF(K21&lt;&gt;"",K21*J21,"")</f>
        <v>23.297483999999997</v>
      </c>
      <c r="Q21" s="41">
        <f t="shared" si="4"/>
        <v>39.569400000000002</v>
      </c>
      <c r="R21" s="41">
        <f t="shared" si="13"/>
        <v>62.866883999999999</v>
      </c>
      <c r="S21" s="40">
        <f t="shared" si="11"/>
        <v>2.4040873422562142E-2</v>
      </c>
      <c r="T21" s="41">
        <f t="shared" si="12"/>
        <v>2.4040873422562141</v>
      </c>
      <c r="U21" s="41">
        <f t="shared" si="5"/>
        <v>5.1000000000000005</v>
      </c>
      <c r="V21" s="41">
        <f t="shared" si="6"/>
        <v>74.996775</v>
      </c>
      <c r="W21" s="41">
        <f t="shared" si="7"/>
        <v>63.026687428571435</v>
      </c>
      <c r="X21" s="41">
        <f t="shared" si="3"/>
        <v>157.446866</v>
      </c>
    </row>
    <row r="22" spans="1:29">
      <c r="A22" s="16" t="s">
        <v>39</v>
      </c>
      <c r="B22" s="9">
        <v>798</v>
      </c>
      <c r="C22" s="9"/>
      <c r="D22" s="17">
        <v>45.3</v>
      </c>
      <c r="E22" s="21"/>
      <c r="F22" s="13">
        <v>43763</v>
      </c>
      <c r="G22" s="9">
        <v>36516</v>
      </c>
      <c r="H22" s="37">
        <f t="shared" si="8"/>
        <v>2569</v>
      </c>
      <c r="I22" s="37">
        <v>531</v>
      </c>
      <c r="J22" s="10">
        <v>7.5369999999999999</v>
      </c>
      <c r="K22" s="12">
        <v>2.3090000000000002</v>
      </c>
      <c r="L22" s="37">
        <f t="shared" si="9"/>
        <v>340.85179779753219</v>
      </c>
      <c r="M22" s="37"/>
      <c r="N22" s="11">
        <v>306</v>
      </c>
      <c r="O22" s="47">
        <v>0.1157</v>
      </c>
      <c r="P22" s="41">
        <f t="shared" si="14"/>
        <v>17.402933000000001</v>
      </c>
      <c r="Q22" s="41">
        <f t="shared" si="4"/>
        <v>35.404199999999996</v>
      </c>
      <c r="R22" s="41">
        <f t="shared" si="13"/>
        <v>52.807132999999993</v>
      </c>
      <c r="S22" s="40">
        <f>IF(H22&lt;&gt;"", R22/H22,"")</f>
        <v>2.0555520825223821E-2</v>
      </c>
      <c r="T22" s="41">
        <f t="shared" si="12"/>
        <v>2.0555520825223819</v>
      </c>
      <c r="U22" s="41">
        <f t="shared" si="5"/>
        <v>4.8142857142857141</v>
      </c>
      <c r="V22" s="41">
        <f t="shared" si="6"/>
        <v>83.205299999999994</v>
      </c>
      <c r="W22" s="41">
        <f t="shared" si="7"/>
        <v>68.250438428571442</v>
      </c>
      <c r="X22" s="41">
        <f t="shared" si="3"/>
        <v>159.04361700000001</v>
      </c>
    </row>
    <row r="23" spans="1:29">
      <c r="A23" s="16" t="s">
        <v>40</v>
      </c>
      <c r="B23" s="9">
        <v>737</v>
      </c>
      <c r="C23" s="9"/>
      <c r="D23" s="17">
        <v>42.2</v>
      </c>
      <c r="E23" s="21"/>
      <c r="F23" s="13">
        <v>43797</v>
      </c>
      <c r="G23" s="9">
        <v>38083</v>
      </c>
      <c r="H23" s="37">
        <f t="shared" si="8"/>
        <v>1567</v>
      </c>
      <c r="I23" s="37">
        <v>543</v>
      </c>
      <c r="J23" s="10">
        <v>8.7050000000000001</v>
      </c>
      <c r="K23" s="12">
        <v>2.3889999999999998</v>
      </c>
      <c r="L23" s="37">
        <f t="shared" si="9"/>
        <v>180.01148765077542</v>
      </c>
      <c r="M23" s="37">
        <v>189.8</v>
      </c>
      <c r="N23" s="11">
        <v>156</v>
      </c>
      <c r="O23" s="47">
        <v>0.1157</v>
      </c>
      <c r="P23" s="41">
        <f t="shared" si="14"/>
        <v>20.796244999999999</v>
      </c>
      <c r="Q23" s="41">
        <f t="shared" si="4"/>
        <v>18.049199999999999</v>
      </c>
      <c r="R23" s="41">
        <f t="shared" si="13"/>
        <v>38.845444999999998</v>
      </c>
      <c r="S23" s="40">
        <f>IF(H23&lt;&gt;"", R23/H23,"")</f>
        <v>2.4789690491384811E-2</v>
      </c>
      <c r="T23" s="41">
        <f t="shared" si="12"/>
        <v>2.478969049138481</v>
      </c>
      <c r="U23" s="41">
        <f t="shared" si="5"/>
        <v>4.7122448979591844</v>
      </c>
      <c r="V23" s="41">
        <f t="shared" si="6"/>
        <v>62.153332142857145</v>
      </c>
      <c r="W23" s="41">
        <f t="shared" si="7"/>
        <v>37.55379989795918</v>
      </c>
      <c r="X23" s="41">
        <f t="shared" si="3"/>
        <v>94.853233571428561</v>
      </c>
    </row>
    <row r="24" spans="1:29">
      <c r="A24" s="16" t="s">
        <v>41</v>
      </c>
      <c r="B24" s="9">
        <v>36</v>
      </c>
      <c r="C24" s="9"/>
      <c r="D24" s="17">
        <v>51.5</v>
      </c>
      <c r="E24" s="21"/>
      <c r="F24" s="13">
        <v>43826</v>
      </c>
      <c r="G24" s="9">
        <v>39318</v>
      </c>
      <c r="H24" s="37">
        <f t="shared" si="8"/>
        <v>1235</v>
      </c>
      <c r="I24" s="37">
        <v>545</v>
      </c>
      <c r="J24" s="10">
        <v>9.5869999999999997</v>
      </c>
      <c r="K24" s="12">
        <v>2.399</v>
      </c>
      <c r="L24" s="37">
        <f t="shared" si="9"/>
        <v>128.82027745905916</v>
      </c>
      <c r="M24" s="37">
        <v>136.30000000000001</v>
      </c>
      <c r="N24" s="11">
        <v>101</v>
      </c>
      <c r="O24" s="47">
        <v>0.1157</v>
      </c>
      <c r="P24" s="41">
        <f t="shared" si="14"/>
        <v>22.999213000000001</v>
      </c>
      <c r="Q24" s="41">
        <f t="shared" si="4"/>
        <v>11.685699999999999</v>
      </c>
      <c r="R24" s="41">
        <f t="shared" si="13"/>
        <v>34.684913000000002</v>
      </c>
      <c r="S24" s="40">
        <f>IF(H24&lt;&gt;"", R24/H24,"")</f>
        <v>2.8084949797570851E-2</v>
      </c>
      <c r="T24" s="41">
        <f t="shared" si="12"/>
        <v>2.8084949797570853</v>
      </c>
      <c r="U24" s="41">
        <f t="shared" si="5"/>
        <v>4.8755102040816327</v>
      </c>
      <c r="V24" s="41">
        <f t="shared" si="6"/>
        <v>74.272303571428566</v>
      </c>
      <c r="W24" s="41">
        <f t="shared" si="7"/>
        <v>25.779678836734689</v>
      </c>
      <c r="X24" s="41">
        <f t="shared" si="3"/>
        <v>71.128122714285695</v>
      </c>
    </row>
    <row r="25" spans="1:29" ht="17" thickBot="1">
      <c r="A25" s="26" t="s">
        <v>42</v>
      </c>
      <c r="B25" s="27">
        <v>203</v>
      </c>
      <c r="C25" s="27"/>
      <c r="D25" s="28">
        <v>199.9</v>
      </c>
      <c r="E25" s="21"/>
      <c r="F25" s="13"/>
      <c r="H25" s="37" t="str">
        <f t="shared" si="8"/>
        <v/>
      </c>
      <c r="L25" s="37" t="str">
        <f t="shared" si="9"/>
        <v/>
      </c>
      <c r="M25" s="37"/>
      <c r="O25" s="47">
        <v>0.1104</v>
      </c>
      <c r="P25" s="41" t="str">
        <f t="shared" si="14"/>
        <v/>
      </c>
      <c r="Q25" s="41" t="str">
        <f t="shared" si="4"/>
        <v/>
      </c>
      <c r="R25" s="41"/>
      <c r="S25" s="40" t="str">
        <f t="shared" ref="S25:S27" si="15">IF(H25&lt;&gt;"",H25/R25,"")</f>
        <v/>
      </c>
      <c r="T25" s="41"/>
      <c r="U25" s="41" t="str">
        <f t="shared" si="5"/>
        <v/>
      </c>
      <c r="V25" s="41" t="str">
        <f t="shared" si="6"/>
        <v/>
      </c>
      <c r="W25" s="41" t="str">
        <f t="shared" si="7"/>
        <v/>
      </c>
      <c r="X25" s="41"/>
    </row>
    <row r="26" spans="1:29" ht="17" thickBot="1">
      <c r="A26" s="29" t="s">
        <v>44</v>
      </c>
      <c r="B26" s="30">
        <f>SUM(B3:B25)</f>
        <v>19037</v>
      </c>
      <c r="C26" s="35"/>
      <c r="D26" s="31">
        <f>AVERAGE(D3:D25)</f>
        <v>55.534782608695657</v>
      </c>
      <c r="E26" s="25"/>
      <c r="F26" s="13"/>
      <c r="H26" s="37" t="str">
        <f t="shared" si="8"/>
        <v/>
      </c>
      <c r="L26" s="37" t="str">
        <f t="shared" si="9"/>
        <v/>
      </c>
      <c r="M26" s="37"/>
      <c r="P26" s="41" t="str">
        <f t="shared" si="14"/>
        <v/>
      </c>
      <c r="Q26" s="41"/>
      <c r="R26" s="41"/>
      <c r="S26" s="40" t="str">
        <f t="shared" si="15"/>
        <v/>
      </c>
      <c r="T26" s="41"/>
      <c r="U26" s="41" t="str">
        <f t="shared" si="5"/>
        <v/>
      </c>
      <c r="V26" s="41" t="str">
        <f t="shared" si="6"/>
        <v/>
      </c>
      <c r="W26" s="41" t="str">
        <f t="shared" si="7"/>
        <v/>
      </c>
      <c r="X26" s="41"/>
    </row>
    <row r="27" spans="1:29">
      <c r="A27" s="22"/>
      <c r="B27" s="24"/>
      <c r="C27" s="24"/>
      <c r="D27" s="23"/>
      <c r="E27" s="21"/>
      <c r="F27" s="13"/>
      <c r="H27" s="37" t="str">
        <f t="shared" si="8"/>
        <v/>
      </c>
      <c r="P27" s="41" t="str">
        <f t="shared" si="14"/>
        <v/>
      </c>
      <c r="Q27" s="41"/>
      <c r="R27" s="41"/>
      <c r="S27" s="40" t="str">
        <f t="shared" si="15"/>
        <v/>
      </c>
      <c r="T27" s="41"/>
      <c r="U27" s="41" t="str">
        <f t="shared" si="5"/>
        <v/>
      </c>
      <c r="V27" s="41" t="str">
        <f t="shared" si="6"/>
        <v/>
      </c>
      <c r="W27" s="41" t="str">
        <f t="shared" si="7"/>
        <v/>
      </c>
      <c r="X27" s="41"/>
      <c r="AA27" s="62" t="s">
        <v>75</v>
      </c>
      <c r="AB27" s="63">
        <f>G20-G6</f>
        <v>6013</v>
      </c>
    </row>
    <row r="28" spans="1:29">
      <c r="A28" s="22" t="s">
        <v>64</v>
      </c>
      <c r="B28" s="49">
        <v>22937</v>
      </c>
      <c r="C28" s="24"/>
      <c r="D28" s="23"/>
      <c r="E28" s="21"/>
      <c r="F28" s="13"/>
      <c r="P28" s="41" t="str">
        <f t="shared" si="14"/>
        <v/>
      </c>
      <c r="Q28" s="41"/>
      <c r="R28" s="41"/>
      <c r="T28" s="41"/>
      <c r="U28" s="41"/>
      <c r="V28" s="41"/>
      <c r="W28" s="41"/>
      <c r="X28" s="41"/>
      <c r="AA28" s="62" t="s">
        <v>76</v>
      </c>
      <c r="AB28" s="63">
        <f>SUM(J8:J20)</f>
        <v>106.27700000000002</v>
      </c>
    </row>
    <row r="29" spans="1:29">
      <c r="A29" s="16" t="s">
        <v>45</v>
      </c>
      <c r="B29" s="9"/>
      <c r="C29" s="9"/>
      <c r="D29" s="17"/>
      <c r="E29" s="21"/>
      <c r="F29" s="13"/>
      <c r="H29" s="37" t="str">
        <f>IF(G29&lt;&gt;"",G29-G27,"")</f>
        <v/>
      </c>
      <c r="P29" s="41" t="str">
        <f t="shared" si="14"/>
        <v/>
      </c>
      <c r="Q29" s="41"/>
      <c r="R29" s="41"/>
      <c r="S29" s="40" t="str">
        <f>IF(H29&lt;&gt;"",H29/R29,"")</f>
        <v/>
      </c>
      <c r="T29" s="41"/>
      <c r="U29" s="41" t="str">
        <f>IF(K29&lt;&gt;"",(K27/49)*100,"")</f>
        <v/>
      </c>
      <c r="V29" s="41" t="str">
        <f>IF(P29&lt;&gt;"",(P27/28)*100,"")</f>
        <v/>
      </c>
      <c r="W29" s="41" t="str">
        <f t="shared" ref="W29:W36" si="16">IF(V29&lt;&gt;"",((H29/49)*K29)-R29,"")</f>
        <v/>
      </c>
      <c r="X29" s="41"/>
      <c r="AA29" s="62" t="s">
        <v>74</v>
      </c>
      <c r="AB29" s="63">
        <f>AB27/AB28</f>
        <v>56.578563565023465</v>
      </c>
    </row>
    <row r="30" spans="1:29" ht="17" thickBot="1">
      <c r="A30" s="26" t="s">
        <v>46</v>
      </c>
      <c r="B30" s="27"/>
      <c r="C30" s="27"/>
      <c r="D30" s="28"/>
      <c r="E30" s="21"/>
      <c r="F30" s="13"/>
      <c r="H30" s="37" t="str">
        <f t="shared" si="8"/>
        <v/>
      </c>
      <c r="P30" s="41" t="str">
        <f t="shared" si="14"/>
        <v/>
      </c>
      <c r="Q30" s="41"/>
      <c r="R30" s="41"/>
      <c r="T30" s="41"/>
      <c r="U30" s="41" t="str">
        <f t="shared" ref="U30:U36" si="17">IF(K30&lt;&gt;"",(K29/49)*100,"")</f>
        <v/>
      </c>
      <c r="V30" s="41" t="str">
        <f>IF(P30&lt;&gt;"",(P29/28)*100,"")</f>
        <v/>
      </c>
      <c r="W30" s="41" t="str">
        <f t="shared" si="16"/>
        <v/>
      </c>
      <c r="X30" s="41"/>
      <c r="AA30" s="58"/>
    </row>
    <row r="31" spans="1:29" ht="17" thickBot="1">
      <c r="A31" s="29" t="s">
        <v>43</v>
      </c>
      <c r="B31" s="32">
        <f>SUM(B34:B52)</f>
        <v>18862</v>
      </c>
      <c r="C31" s="33">
        <f>AVERAGE(C34:C52)</f>
        <v>5</v>
      </c>
      <c r="D31" s="33">
        <f>AVERAGE(D34:D52)</f>
        <v>228.32000000000002</v>
      </c>
      <c r="E31" s="25"/>
      <c r="F31" s="13"/>
      <c r="H31" s="37" t="str">
        <f t="shared" si="8"/>
        <v/>
      </c>
      <c r="P31" s="41" t="str">
        <f t="shared" si="14"/>
        <v/>
      </c>
      <c r="Q31" s="41"/>
      <c r="R31" s="41"/>
      <c r="T31" s="41"/>
      <c r="U31" s="41" t="str">
        <f t="shared" si="17"/>
        <v/>
      </c>
      <c r="V31" s="41" t="str">
        <f>IF(P31&lt;&gt;"",(P30/28)*100,"")</f>
        <v/>
      </c>
      <c r="W31" s="41" t="str">
        <f t="shared" si="16"/>
        <v/>
      </c>
      <c r="X31" s="41"/>
      <c r="AA31" s="64" t="s">
        <v>77</v>
      </c>
      <c r="AB31" s="65">
        <f>SUM(R8:R20)</f>
        <v>305.158053</v>
      </c>
    </row>
    <row r="32" spans="1:29">
      <c r="A32" s="70"/>
      <c r="B32" s="71"/>
      <c r="C32" s="72"/>
      <c r="D32" s="72"/>
      <c r="E32" s="25"/>
      <c r="F32" s="13"/>
      <c r="Q32" s="41"/>
      <c r="R32" s="41"/>
      <c r="T32" s="41"/>
      <c r="U32" s="41"/>
      <c r="V32" s="41"/>
      <c r="W32" s="41"/>
      <c r="X32" s="41"/>
      <c r="AA32" s="58"/>
    </row>
    <row r="33" spans="1:29" ht="17">
      <c r="A33" s="15" t="s">
        <v>17</v>
      </c>
      <c r="B33" s="15" t="s">
        <v>18</v>
      </c>
      <c r="C33" s="15" t="s">
        <v>63</v>
      </c>
      <c r="D33" s="18" t="s">
        <v>19</v>
      </c>
      <c r="E33" s="21"/>
      <c r="F33" s="13"/>
      <c r="H33" s="37" t="str">
        <f>IF(G33&lt;&gt;"",G33-G31,"")</f>
        <v/>
      </c>
      <c r="Q33" s="41"/>
      <c r="R33" s="41"/>
      <c r="T33" s="41"/>
      <c r="U33" s="41" t="str">
        <f>IF(K33&lt;&gt;"",(K31/49)*100,"")</f>
        <v/>
      </c>
      <c r="V33" s="41" t="str">
        <f>IF(P33&lt;&gt;"",(P31/28)*100,"")</f>
        <v/>
      </c>
      <c r="W33" s="41" t="str">
        <f t="shared" si="16"/>
        <v/>
      </c>
      <c r="X33" s="41"/>
      <c r="AA33" s="58" t="s">
        <v>78</v>
      </c>
      <c r="AB33" s="9">
        <v>14</v>
      </c>
    </row>
    <row r="34" spans="1:29">
      <c r="A34" s="16" t="s">
        <v>42</v>
      </c>
      <c r="B34" s="9">
        <v>995</v>
      </c>
      <c r="C34" s="17">
        <v>5.4</v>
      </c>
      <c r="D34" s="17">
        <v>392.02</v>
      </c>
      <c r="E34" s="21"/>
      <c r="F34" s="13"/>
      <c r="H34" s="37" t="str">
        <f t="shared" si="8"/>
        <v/>
      </c>
      <c r="Q34" s="41"/>
      <c r="R34" s="41"/>
      <c r="T34" s="41"/>
      <c r="U34" s="41" t="str">
        <f t="shared" si="17"/>
        <v/>
      </c>
      <c r="V34" s="41" t="str">
        <f>IF(P34&lt;&gt;"",(P33/28)*100,"")</f>
        <v/>
      </c>
      <c r="W34" s="41" t="str">
        <f t="shared" si="16"/>
        <v/>
      </c>
      <c r="X34" s="41"/>
      <c r="AA34" s="58" t="s">
        <v>79</v>
      </c>
      <c r="AB34" s="9">
        <v>22</v>
      </c>
    </row>
    <row r="35" spans="1:29">
      <c r="A35" s="16" t="s">
        <v>47</v>
      </c>
      <c r="B35" s="9">
        <v>1286</v>
      </c>
      <c r="C35" s="17">
        <v>5.2</v>
      </c>
      <c r="D35" s="61" t="s">
        <v>72</v>
      </c>
      <c r="E35" s="21"/>
      <c r="F35" s="13"/>
      <c r="H35" s="37" t="str">
        <f t="shared" si="8"/>
        <v/>
      </c>
      <c r="Q35" s="41"/>
      <c r="R35" s="41"/>
      <c r="T35" s="41"/>
      <c r="U35" s="41" t="str">
        <f t="shared" si="17"/>
        <v/>
      </c>
      <c r="V35" s="41" t="str">
        <f>IF(P35&lt;&gt;"",(P34/28)*100,"")</f>
        <v/>
      </c>
      <c r="W35" s="41" t="str">
        <f t="shared" si="16"/>
        <v/>
      </c>
      <c r="X35" s="41"/>
      <c r="AA35" s="58" t="s">
        <v>80</v>
      </c>
      <c r="AB35" s="9">
        <v>19</v>
      </c>
    </row>
    <row r="36" spans="1:29">
      <c r="A36" s="16" t="s">
        <v>48</v>
      </c>
      <c r="B36" s="9">
        <v>6305</v>
      </c>
      <c r="C36" s="17">
        <v>5.0999999999999996</v>
      </c>
      <c r="D36" s="17">
        <v>57</v>
      </c>
      <c r="E36" s="21"/>
      <c r="F36" s="13"/>
      <c r="Q36" s="41"/>
      <c r="R36" s="41"/>
      <c r="T36" s="41"/>
      <c r="U36" s="41" t="str">
        <f t="shared" si="17"/>
        <v/>
      </c>
      <c r="V36" s="41"/>
      <c r="W36" s="41" t="str">
        <f t="shared" si="16"/>
        <v/>
      </c>
      <c r="X36" s="41"/>
      <c r="AA36" s="58" t="s">
        <v>81</v>
      </c>
      <c r="AB36" s="9">
        <v>13</v>
      </c>
    </row>
    <row r="37" spans="1:29">
      <c r="A37" s="16" t="s">
        <v>49</v>
      </c>
      <c r="B37" s="9">
        <v>852</v>
      </c>
      <c r="C37" s="17">
        <v>4.7</v>
      </c>
      <c r="D37" s="68" t="s">
        <v>123</v>
      </c>
      <c r="E37" s="21"/>
      <c r="F37" s="13"/>
      <c r="Q37" s="41"/>
      <c r="R37" s="41"/>
      <c r="T37" s="41"/>
      <c r="U37" s="41"/>
      <c r="V37" s="41"/>
      <c r="W37" s="41"/>
      <c r="X37" s="41"/>
      <c r="AA37" s="58"/>
    </row>
    <row r="38" spans="1:29">
      <c r="A38" s="16" t="s">
        <v>50</v>
      </c>
      <c r="B38" s="9">
        <v>1070</v>
      </c>
      <c r="C38" s="17">
        <v>4.8</v>
      </c>
      <c r="D38" s="68" t="s">
        <v>125</v>
      </c>
      <c r="E38" s="21"/>
      <c r="F38" s="13"/>
      <c r="Q38" s="41"/>
      <c r="R38" s="41"/>
      <c r="T38" s="41"/>
      <c r="U38" s="41"/>
      <c r="V38" s="41"/>
      <c r="W38" s="41"/>
      <c r="X38" s="41"/>
      <c r="AA38" s="58"/>
    </row>
    <row r="39" spans="1:29">
      <c r="A39" s="16" t="s">
        <v>51</v>
      </c>
      <c r="B39" s="9">
        <v>898</v>
      </c>
      <c r="C39" s="17">
        <v>4.9000000000000004</v>
      </c>
      <c r="D39" s="68" t="s">
        <v>126</v>
      </c>
      <c r="E39" s="21"/>
      <c r="F39" s="13"/>
      <c r="Q39" s="41"/>
      <c r="R39" s="41"/>
      <c r="T39" s="41"/>
      <c r="U39" s="41"/>
      <c r="V39" s="41"/>
      <c r="W39" s="41"/>
      <c r="X39" s="41"/>
    </row>
    <row r="40" spans="1:29">
      <c r="A40" s="16" t="s">
        <v>52</v>
      </c>
      <c r="B40" s="9">
        <v>1150</v>
      </c>
      <c r="C40" s="17">
        <v>4.9000000000000004</v>
      </c>
      <c r="D40" s="17">
        <v>294</v>
      </c>
      <c r="E40" s="21"/>
      <c r="F40" s="13"/>
      <c r="Q40" s="41"/>
      <c r="R40" s="41"/>
      <c r="T40" s="41"/>
      <c r="U40" s="41"/>
      <c r="V40" s="41"/>
      <c r="W40" s="41"/>
      <c r="X40" s="41"/>
      <c r="AA40" s="58"/>
      <c r="AB40" s="66" t="s">
        <v>1</v>
      </c>
      <c r="AC40" s="54" t="s">
        <v>128</v>
      </c>
    </row>
    <row r="41" spans="1:29">
      <c r="A41" s="16" t="s">
        <v>53</v>
      </c>
      <c r="B41" s="9">
        <v>1545</v>
      </c>
      <c r="C41" s="17">
        <v>5</v>
      </c>
      <c r="D41" s="17">
        <v>196</v>
      </c>
      <c r="E41" s="21"/>
      <c r="F41" s="13"/>
      <c r="Q41" s="41"/>
      <c r="R41" s="41"/>
      <c r="T41" s="41"/>
      <c r="U41" s="41"/>
      <c r="V41" s="41"/>
      <c r="W41" s="41"/>
      <c r="X41" s="41"/>
      <c r="Z41" s="11" t="s">
        <v>119</v>
      </c>
      <c r="AA41" s="61" t="s">
        <v>82</v>
      </c>
      <c r="AB41" s="61">
        <v>677.8</v>
      </c>
      <c r="AC41" s="17">
        <v>58.3</v>
      </c>
    </row>
    <row r="42" spans="1:29">
      <c r="A42" s="16" t="s">
        <v>54</v>
      </c>
      <c r="B42" s="9">
        <v>1144</v>
      </c>
      <c r="C42" s="17">
        <v>5</v>
      </c>
      <c r="D42" s="17">
        <v>294</v>
      </c>
      <c r="E42" s="21"/>
      <c r="F42" s="13"/>
      <c r="Q42" s="41"/>
      <c r="R42" s="41"/>
      <c r="T42" s="41"/>
      <c r="W42" s="41"/>
      <c r="X42" s="41"/>
      <c r="Z42" s="11" t="s">
        <v>118</v>
      </c>
      <c r="AA42" s="61" t="s">
        <v>83</v>
      </c>
      <c r="AB42" s="61" t="s">
        <v>84</v>
      </c>
      <c r="AC42" s="17">
        <v>49.5</v>
      </c>
    </row>
    <row r="43" spans="1:29">
      <c r="A43" s="16" t="s">
        <v>55</v>
      </c>
      <c r="B43" s="9">
        <v>1451</v>
      </c>
      <c r="C43" s="17">
        <v>5.0999999999999996</v>
      </c>
      <c r="D43" s="17">
        <v>136.9</v>
      </c>
      <c r="E43" s="21"/>
      <c r="F43" s="13"/>
      <c r="Q43" s="41"/>
      <c r="R43" s="41"/>
      <c r="T43" s="41"/>
      <c r="W43" s="41"/>
      <c r="X43" s="41"/>
      <c r="Z43" s="11" t="s">
        <v>117</v>
      </c>
      <c r="AA43" s="61" t="s">
        <v>85</v>
      </c>
      <c r="AB43" s="61" t="s">
        <v>86</v>
      </c>
      <c r="AC43" s="17">
        <v>43.9</v>
      </c>
    </row>
    <row r="44" spans="1:29">
      <c r="A44" s="16" t="s">
        <v>56</v>
      </c>
      <c r="B44" s="9">
        <v>1053</v>
      </c>
      <c r="C44" s="17">
        <v>4.9000000000000004</v>
      </c>
      <c r="D44" s="68" t="s">
        <v>138</v>
      </c>
      <c r="E44" s="21"/>
      <c r="F44" s="13"/>
      <c r="T44" s="41"/>
      <c r="W44" s="41"/>
      <c r="X44" s="41"/>
      <c r="Z44" s="11" t="s">
        <v>116</v>
      </c>
      <c r="AA44" s="61" t="s">
        <v>87</v>
      </c>
      <c r="AB44" s="61" t="s">
        <v>88</v>
      </c>
      <c r="AC44" s="17">
        <v>46</v>
      </c>
    </row>
    <row r="45" spans="1:29">
      <c r="A45" s="16" t="s">
        <v>57</v>
      </c>
      <c r="B45" s="9">
        <v>1113</v>
      </c>
      <c r="C45" s="17">
        <v>5</v>
      </c>
      <c r="D45" s="68" t="s">
        <v>72</v>
      </c>
      <c r="E45" s="21"/>
      <c r="F45" s="13"/>
      <c r="T45" s="41"/>
      <c r="W45" s="41"/>
      <c r="X45" s="41"/>
      <c r="Z45" s="11" t="s">
        <v>115</v>
      </c>
      <c r="AA45" s="61" t="s">
        <v>89</v>
      </c>
      <c r="AB45" s="61" t="s">
        <v>90</v>
      </c>
      <c r="AC45" s="17">
        <v>75.099999999999994</v>
      </c>
    </row>
    <row r="46" spans="1:29">
      <c r="A46" s="16" t="s">
        <v>58</v>
      </c>
      <c r="B46" s="9"/>
      <c r="C46" s="17"/>
      <c r="D46" s="68"/>
      <c r="E46" s="21"/>
      <c r="F46" s="13"/>
      <c r="T46" s="41"/>
      <c r="W46" s="41"/>
      <c r="X46" s="41"/>
      <c r="Z46" s="11" t="s">
        <v>114</v>
      </c>
      <c r="AA46" s="61" t="s">
        <v>91</v>
      </c>
      <c r="AB46" s="61" t="s">
        <v>95</v>
      </c>
      <c r="AC46" s="17">
        <v>58.7</v>
      </c>
    </row>
    <row r="47" spans="1:29">
      <c r="A47" s="16" t="s">
        <v>59</v>
      </c>
      <c r="B47" s="9"/>
      <c r="C47" s="17"/>
      <c r="D47" s="68"/>
      <c r="E47" s="21"/>
      <c r="F47" s="13"/>
      <c r="T47" s="41"/>
      <c r="W47" s="41"/>
      <c r="X47" s="41"/>
      <c r="Z47" s="11" t="s">
        <v>112</v>
      </c>
      <c r="AA47" s="61" t="s">
        <v>92</v>
      </c>
      <c r="AB47" s="61" t="s">
        <v>96</v>
      </c>
      <c r="AC47" s="17">
        <v>62.8</v>
      </c>
    </row>
    <row r="48" spans="1:29">
      <c r="A48" s="16"/>
      <c r="B48" s="9"/>
      <c r="C48" s="17"/>
      <c r="D48" s="68"/>
      <c r="E48" s="21"/>
      <c r="F48" s="13"/>
      <c r="T48" s="41"/>
      <c r="W48" s="41"/>
      <c r="X48" s="41"/>
      <c r="Z48" s="11" t="s">
        <v>111</v>
      </c>
      <c r="AA48" s="61" t="s">
        <v>93</v>
      </c>
      <c r="AB48" s="61" t="s">
        <v>97</v>
      </c>
      <c r="AC48" s="17">
        <v>57.7</v>
      </c>
    </row>
    <row r="49" spans="1:29">
      <c r="A49" s="16"/>
      <c r="B49" s="9"/>
      <c r="C49" s="17"/>
      <c r="D49" s="17"/>
      <c r="E49" s="21"/>
      <c r="F49" s="13"/>
      <c r="T49" s="41"/>
      <c r="W49" s="41"/>
      <c r="X49" s="41"/>
      <c r="Z49" s="11" t="s">
        <v>113</v>
      </c>
      <c r="AA49" s="61" t="s">
        <v>94</v>
      </c>
      <c r="AB49" s="61" t="s">
        <v>98</v>
      </c>
      <c r="AC49" s="17">
        <v>66.599999999999994</v>
      </c>
    </row>
    <row r="50" spans="1:29">
      <c r="A50" s="16"/>
      <c r="B50" s="9"/>
      <c r="C50" s="17"/>
      <c r="D50" s="17"/>
      <c r="E50" s="21"/>
      <c r="F50" s="13"/>
      <c r="T50" s="41"/>
      <c r="W50" s="41"/>
      <c r="X50" s="41"/>
      <c r="Z50" s="11" t="s">
        <v>110</v>
      </c>
      <c r="AA50" s="61" t="s">
        <v>99</v>
      </c>
      <c r="AB50" s="61" t="s">
        <v>100</v>
      </c>
      <c r="AC50" s="17">
        <v>51.5</v>
      </c>
    </row>
    <row r="51" spans="1:29">
      <c r="A51" s="16"/>
      <c r="B51" s="9"/>
      <c r="C51" s="17"/>
      <c r="D51" s="17"/>
      <c r="E51" s="21"/>
      <c r="F51" s="13"/>
      <c r="T51" s="41"/>
      <c r="W51" s="41"/>
      <c r="X51" s="41"/>
      <c r="Z51" s="11" t="s">
        <v>109</v>
      </c>
      <c r="AA51" s="61" t="s">
        <v>101</v>
      </c>
      <c r="AB51" s="61" t="s">
        <v>102</v>
      </c>
      <c r="AC51" s="17">
        <v>52.2</v>
      </c>
    </row>
    <row r="52" spans="1:29">
      <c r="A52" s="16"/>
      <c r="B52" s="9"/>
      <c r="C52" s="17"/>
      <c r="D52" s="17"/>
      <c r="E52" s="21"/>
      <c r="F52" s="13"/>
      <c r="T52" s="41"/>
      <c r="W52" s="41"/>
      <c r="X52" s="41"/>
      <c r="Z52" s="11" t="s">
        <v>108</v>
      </c>
      <c r="AA52" s="61" t="s">
        <v>103</v>
      </c>
      <c r="AB52" s="61" t="s">
        <v>104</v>
      </c>
      <c r="AC52" s="17">
        <v>52.6</v>
      </c>
    </row>
    <row r="53" spans="1:29">
      <c r="A53" s="16"/>
      <c r="B53" s="9"/>
      <c r="C53" s="17"/>
      <c r="D53" s="17"/>
      <c r="E53" s="21"/>
      <c r="F53" s="13"/>
      <c r="T53" s="41"/>
      <c r="W53" s="41"/>
      <c r="X53" s="41"/>
      <c r="Z53" s="11" t="s">
        <v>107</v>
      </c>
      <c r="AA53" s="61" t="s">
        <v>105</v>
      </c>
      <c r="AB53" s="61" t="s">
        <v>106</v>
      </c>
      <c r="AC53" s="17">
        <v>54.8</v>
      </c>
    </row>
    <row r="54" spans="1:29">
      <c r="A54" s="16"/>
      <c r="B54" s="9"/>
      <c r="C54" s="17"/>
      <c r="D54" s="17"/>
      <c r="E54" s="21"/>
      <c r="F54" s="13"/>
      <c r="T54" s="41"/>
      <c r="W54" s="41"/>
      <c r="X54" s="41"/>
      <c r="AA54" s="61"/>
      <c r="AB54" s="61"/>
      <c r="AC54" s="17"/>
    </row>
    <row r="55" spans="1:29">
      <c r="A55" s="16"/>
      <c r="B55" s="9"/>
      <c r="C55" s="9"/>
      <c r="D55" s="17"/>
      <c r="E55" s="21"/>
      <c r="F55" s="13"/>
      <c r="T55" s="41"/>
      <c r="W55" s="41"/>
      <c r="X55" s="41"/>
      <c r="AA55" s="61"/>
      <c r="AB55" s="61"/>
      <c r="AC55" s="17"/>
    </row>
    <row r="56" spans="1:29">
      <c r="A56" s="16"/>
      <c r="B56" s="9"/>
      <c r="C56" s="9"/>
      <c r="D56" s="17"/>
      <c r="E56" s="21"/>
      <c r="F56" s="13"/>
      <c r="T56" s="41"/>
      <c r="W56" s="41"/>
      <c r="X56" s="41"/>
      <c r="AA56" s="73" t="s">
        <v>132</v>
      </c>
      <c r="AB56" s="67" t="s">
        <v>133</v>
      </c>
      <c r="AC56" s="68" t="s">
        <v>134</v>
      </c>
    </row>
    <row r="57" spans="1:29">
      <c r="A57" s="16"/>
      <c r="B57" s="9"/>
      <c r="C57" s="9"/>
      <c r="D57" s="17"/>
      <c r="E57" s="21"/>
      <c r="F57" s="13"/>
      <c r="T57" s="41"/>
      <c r="W57" s="41"/>
      <c r="X57" s="41"/>
      <c r="Z57" s="13">
        <v>43851</v>
      </c>
      <c r="AA57" s="61" t="s">
        <v>131</v>
      </c>
      <c r="AB57" s="67">
        <v>40</v>
      </c>
      <c r="AC57" s="68" t="s">
        <v>135</v>
      </c>
    </row>
    <row r="58" spans="1:29">
      <c r="A58" s="16"/>
      <c r="B58" s="9"/>
      <c r="C58" s="9"/>
      <c r="D58" s="17"/>
      <c r="E58" s="21"/>
      <c r="F58" s="13"/>
      <c r="T58" s="41"/>
      <c r="W58" s="41"/>
      <c r="X58" s="41"/>
      <c r="Z58" s="13">
        <v>43853</v>
      </c>
      <c r="AA58" s="61" t="s">
        <v>136</v>
      </c>
      <c r="AB58" s="67">
        <v>55</v>
      </c>
      <c r="AC58" s="68" t="s">
        <v>137</v>
      </c>
    </row>
    <row r="59" spans="1:29">
      <c r="A59" s="16"/>
      <c r="B59" s="9"/>
      <c r="C59" s="9"/>
      <c r="F59" s="13"/>
      <c r="T59" s="41"/>
      <c r="W59" s="41"/>
      <c r="X59" s="41"/>
      <c r="Z59" s="13">
        <v>43874</v>
      </c>
      <c r="AA59" s="61" t="s">
        <v>139</v>
      </c>
      <c r="AB59" s="67">
        <v>70</v>
      </c>
      <c r="AC59" s="68" t="s">
        <v>137</v>
      </c>
    </row>
    <row r="60" spans="1:29">
      <c r="A60" s="16"/>
      <c r="B60" s="9"/>
      <c r="C60" s="9"/>
      <c r="F60" s="13"/>
      <c r="T60" s="41"/>
      <c r="W60" s="41"/>
      <c r="X60" s="41"/>
    </row>
    <row r="61" spans="1:29">
      <c r="A61" s="16"/>
      <c r="B61" s="9"/>
      <c r="C61" s="9"/>
    </row>
    <row r="62" spans="1:29">
      <c r="A62" s="16"/>
      <c r="B62" s="9"/>
      <c r="C62" s="9"/>
    </row>
    <row r="63" spans="1:29">
      <c r="A63" s="16"/>
      <c r="B63" s="9"/>
      <c r="C63" s="9"/>
    </row>
    <row r="64" spans="1:29">
      <c r="A64" s="16"/>
      <c r="B64" s="9"/>
      <c r="C64" s="9"/>
      <c r="H64" s="36"/>
      <c r="I64" s="36"/>
      <c r="J64" s="9"/>
      <c r="L64" s="39"/>
      <c r="M64" s="39"/>
      <c r="N64" s="9"/>
    </row>
    <row r="65" spans="1:6">
      <c r="A65" s="16"/>
      <c r="B65" s="9"/>
      <c r="C65" s="9"/>
    </row>
    <row r="66" spans="1:6">
      <c r="A66" s="16"/>
      <c r="B66" s="9"/>
      <c r="C66" s="9"/>
      <c r="F66" s="13"/>
    </row>
    <row r="67" spans="1:6">
      <c r="A67" s="16"/>
      <c r="B67" s="9"/>
      <c r="C67" s="9"/>
      <c r="F67" s="13"/>
    </row>
    <row r="68" spans="1:6">
      <c r="A68" s="16"/>
      <c r="F68" s="13"/>
    </row>
    <row r="69" spans="1:6">
      <c r="A69" s="16"/>
      <c r="F69" s="13"/>
    </row>
    <row r="70" spans="1:6">
      <c r="A70" s="16"/>
      <c r="F70" s="13"/>
    </row>
    <row r="71" spans="1:6">
      <c r="F71" s="13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2017-01-12T22:52:04Z</dcterms:created>
  <dcterms:modified xsi:type="dcterms:W3CDTF">2020-03-05T17:24:45Z</dcterms:modified>
</cp:coreProperties>
</file>