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8_{BEF9A856-21B8-44B7-9BFC-25BEA1D002F9}" xr6:coauthVersionLast="44" xr6:coauthVersionMax="44" xr10:uidLastSave="{00000000-0000-0000-0000-000000000000}"/>
  <bookViews>
    <workbookView xWindow="25080" yWindow="-120" windowWidth="254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4" i="1"/>
  <c r="P19" i="1" l="1"/>
  <c r="K19" i="1"/>
  <c r="G19" i="1"/>
  <c r="C33" i="1"/>
  <c r="C32" i="1"/>
  <c r="B33" i="1"/>
  <c r="B35" i="1" l="1"/>
  <c r="B34" i="1"/>
  <c r="M8" i="1"/>
  <c r="M9" i="1"/>
  <c r="M7" i="1"/>
  <c r="M10" i="1"/>
  <c r="B32" i="1"/>
  <c r="M13" i="1" l="1"/>
  <c r="M12" i="1"/>
  <c r="M11" i="1"/>
  <c r="O13" i="1"/>
  <c r="O12" i="1"/>
  <c r="P12" i="1" s="1"/>
  <c r="O11" i="1"/>
  <c r="Q11" i="1" s="1"/>
  <c r="O10" i="1"/>
  <c r="O9" i="1"/>
  <c r="O8" i="1"/>
  <c r="Q8" i="1" s="1"/>
  <c r="O7" i="1"/>
  <c r="O6" i="1"/>
  <c r="O5" i="1"/>
  <c r="C28" i="1"/>
  <c r="J13" i="1"/>
  <c r="J12" i="1"/>
  <c r="J11" i="1"/>
  <c r="L11" i="1" s="1"/>
  <c r="J10" i="1"/>
  <c r="K10" i="1" s="1"/>
  <c r="J9" i="1"/>
  <c r="L9" i="1" s="1"/>
  <c r="J8" i="1"/>
  <c r="L8" i="1" s="1"/>
  <c r="J7" i="1"/>
  <c r="K7" i="1" s="1"/>
  <c r="J6" i="1"/>
  <c r="J5" i="1"/>
  <c r="F6" i="1"/>
  <c r="F7" i="1"/>
  <c r="G7" i="1" s="1"/>
  <c r="F8" i="1"/>
  <c r="F9" i="1"/>
  <c r="F10" i="1"/>
  <c r="F11" i="1"/>
  <c r="F12" i="1"/>
  <c r="F13" i="1"/>
  <c r="F5" i="1"/>
  <c r="D13" i="1"/>
  <c r="H13" i="1" s="1"/>
  <c r="D12" i="1"/>
  <c r="H12" i="1" s="1"/>
  <c r="D6" i="1"/>
  <c r="P6" i="1" s="1"/>
  <c r="D7" i="1"/>
  <c r="H7" i="1" s="1"/>
  <c r="D8" i="1"/>
  <c r="H8" i="1" s="1"/>
  <c r="D9" i="1"/>
  <c r="H9" i="1" s="1"/>
  <c r="D10" i="1"/>
  <c r="H10" i="1" s="1"/>
  <c r="D11" i="1"/>
  <c r="H11" i="1" s="1"/>
  <c r="C5" i="1"/>
  <c r="C18" i="1" s="1"/>
  <c r="D5" i="1" l="1"/>
  <c r="P5" i="1" s="1"/>
  <c r="Q5" i="1"/>
  <c r="G5" i="1"/>
  <c r="L12" i="1"/>
  <c r="Q6" i="1"/>
  <c r="L5" i="1"/>
  <c r="P7" i="1"/>
  <c r="G12" i="1"/>
  <c r="L6" i="1"/>
  <c r="K12" i="1"/>
  <c r="P8" i="1"/>
  <c r="P10" i="1"/>
  <c r="Q13" i="1"/>
  <c r="G11" i="1"/>
  <c r="K13" i="1"/>
  <c r="K8" i="1"/>
  <c r="K18" i="1" s="1"/>
  <c r="L7" i="1"/>
  <c r="Q12" i="1"/>
  <c r="P13" i="1"/>
  <c r="G10" i="1"/>
  <c r="K6" i="1"/>
  <c r="H5" i="1"/>
  <c r="H18" i="1" s="1"/>
  <c r="M5" i="1"/>
  <c r="M18" i="1" s="1"/>
  <c r="K9" i="1"/>
  <c r="H6" i="1"/>
  <c r="M6" i="1"/>
  <c r="G9" i="1"/>
  <c r="K5" i="1"/>
  <c r="L13" i="1"/>
  <c r="Q10" i="1"/>
  <c r="P11" i="1"/>
  <c r="G8" i="1"/>
  <c r="Q9" i="1"/>
  <c r="P9" i="1"/>
  <c r="G6" i="1"/>
  <c r="K11" i="1"/>
  <c r="L10" i="1"/>
  <c r="Q7" i="1"/>
  <c r="Q18" i="1" s="1"/>
  <c r="G13" i="1"/>
  <c r="D18" i="1"/>
  <c r="D20" i="1" s="1"/>
  <c r="L18" i="1" l="1"/>
  <c r="G18" i="1"/>
  <c r="P18" i="1"/>
  <c r="P21" i="1"/>
  <c r="P23" i="1"/>
  <c r="K21" i="1"/>
  <c r="G21" i="1" l="1"/>
</calcChain>
</file>

<file path=xl/sharedStrings.xml><?xml version="1.0" encoding="utf-8"?>
<sst xmlns="http://schemas.openxmlformats.org/spreadsheetml/2006/main" count="57" uniqueCount="40">
  <si>
    <t>Trips per year</t>
  </si>
  <si>
    <t>Total Miles</t>
  </si>
  <si>
    <t>Total</t>
  </si>
  <si>
    <t>Estimate</t>
  </si>
  <si>
    <t>Work</t>
  </si>
  <si>
    <t>Errands, mountaing biking</t>
  </si>
  <si>
    <t>% Trips in Leaf</t>
  </si>
  <si>
    <t>Gallons</t>
  </si>
  <si>
    <t>% Trips in Prius</t>
  </si>
  <si>
    <t>EV Range</t>
  </si>
  <si>
    <t>4runner gallons per year</t>
  </si>
  <si>
    <t>Percent of miles for trips under 40 miles</t>
  </si>
  <si>
    <t>4r miles per year</t>
  </si>
  <si>
    <t>Gas savings of plug in</t>
  </si>
  <si>
    <t>RT Miles</t>
  </si>
  <si>
    <t>Leaf kwh/mi</t>
  </si>
  <si>
    <t>PP kwh/mi</t>
  </si>
  <si>
    <t>kwh</t>
  </si>
  <si>
    <t>KWH</t>
  </si>
  <si>
    <t>4r mi/yr</t>
  </si>
  <si>
    <t>4r miles</t>
  </si>
  <si>
    <t>Prius gal/mi</t>
  </si>
  <si>
    <t>Cost per mile</t>
  </si>
  <si>
    <t>Price of Gas</t>
  </si>
  <si>
    <t>4runner gal/mi</t>
  </si>
  <si>
    <t>Savings (%)</t>
  </si>
  <si>
    <t>Denver, Mountina Biking</t>
  </si>
  <si>
    <t>Hiking</t>
  </si>
  <si>
    <t>Hiking, Biking</t>
  </si>
  <si>
    <t>Skiing</t>
  </si>
  <si>
    <t>Utah</t>
  </si>
  <si>
    <t>Errands</t>
  </si>
  <si>
    <t>Nissan Leaf</t>
  </si>
  <si>
    <t>Prius Prime</t>
  </si>
  <si>
    <t>Standard Prius</t>
  </si>
  <si>
    <t>Cost:</t>
  </si>
  <si>
    <t>Based on battery capacity divided by stated range.</t>
  </si>
  <si>
    <t>Cost of electricity</t>
  </si>
  <si>
    <t>% of trips in 4runner</t>
  </si>
  <si>
    <t>New Car vs. 2007 Toyota 4runner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</si>
</sst>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workbookViewId="0">
      <selection activeCell="C1" sqref="C1"/>
    </sheetView>
  </sheetViews>
  <sheetFormatPr defaultRowHeight="15" x14ac:dyDescent="0.25"/>
  <cols>
    <col min="1" max="1" width="34.42578125" bestFit="1" customWidth="1"/>
    <col min="3" max="4" width="16" customWidth="1"/>
    <col min="5" max="5" width="16.85546875" customWidth="1"/>
    <col min="6" max="6" width="14.42578125" customWidth="1"/>
    <col min="9" max="10" width="13.7109375" bestFit="1" customWidth="1"/>
    <col min="14" max="14" width="9.7109375" customWidth="1"/>
    <col min="15" max="15" width="11" bestFit="1" customWidth="1"/>
  </cols>
  <sheetData>
    <row r="1" spans="1:18" ht="21" x14ac:dyDescent="0.35">
      <c r="A1" s="15" t="s">
        <v>39</v>
      </c>
      <c r="E1" s="15" t="s">
        <v>32</v>
      </c>
      <c r="I1" s="15" t="s">
        <v>33</v>
      </c>
      <c r="N1" s="15" t="s">
        <v>34</v>
      </c>
    </row>
    <row r="3" spans="1:18" ht="15.75" thickBot="1" x14ac:dyDescent="0.3">
      <c r="I3" t="s">
        <v>9</v>
      </c>
      <c r="J3">
        <v>20</v>
      </c>
    </row>
    <row r="4" spans="1:18" s="9" customFormat="1" ht="30" x14ac:dyDescent="0.25">
      <c r="B4" s="11" t="s">
        <v>14</v>
      </c>
      <c r="C4" s="11" t="s">
        <v>0</v>
      </c>
      <c r="D4" s="11" t="s">
        <v>1</v>
      </c>
      <c r="E4" s="12" t="s">
        <v>6</v>
      </c>
      <c r="F4" s="13" t="s">
        <v>38</v>
      </c>
      <c r="G4" s="13" t="s">
        <v>7</v>
      </c>
      <c r="H4" s="14" t="s">
        <v>17</v>
      </c>
      <c r="I4" s="12" t="s">
        <v>8</v>
      </c>
      <c r="J4" s="13" t="s">
        <v>38</v>
      </c>
      <c r="K4" s="13" t="s">
        <v>7</v>
      </c>
      <c r="L4" s="13" t="s">
        <v>19</v>
      </c>
      <c r="M4" s="13" t="s">
        <v>17</v>
      </c>
      <c r="N4" s="12" t="s">
        <v>8</v>
      </c>
      <c r="O4" s="13" t="s">
        <v>38</v>
      </c>
      <c r="P4" s="13" t="s">
        <v>7</v>
      </c>
      <c r="Q4" s="14" t="s">
        <v>12</v>
      </c>
      <c r="R4" s="10"/>
    </row>
    <row r="5" spans="1:18" x14ac:dyDescent="0.25">
      <c r="A5" t="s">
        <v>31</v>
      </c>
      <c r="B5">
        <v>10</v>
      </c>
      <c r="C5">
        <f>2*50</f>
        <v>100</v>
      </c>
      <c r="D5">
        <f>C5*B5</f>
        <v>1000</v>
      </c>
      <c r="E5" s="2">
        <v>1</v>
      </c>
      <c r="F5" s="3">
        <f>1-E5</f>
        <v>0</v>
      </c>
      <c r="G5" s="3">
        <f>F5*D5/17</f>
        <v>0</v>
      </c>
      <c r="H5" s="4">
        <f>D5*E5*$B$32</f>
        <v>264.90066225165566</v>
      </c>
      <c r="I5" s="2">
        <v>1</v>
      </c>
      <c r="J5" s="3">
        <f>1-I5</f>
        <v>0</v>
      </c>
      <c r="K5" s="3">
        <f>J5*$D5/17</f>
        <v>0</v>
      </c>
      <c r="L5" s="3">
        <f>J5*D5</f>
        <v>0</v>
      </c>
      <c r="M5" s="3">
        <f>D5*I5*$B$33</f>
        <v>240</v>
      </c>
      <c r="N5" s="2">
        <v>1</v>
      </c>
      <c r="O5" s="3">
        <f>1-N5</f>
        <v>0</v>
      </c>
      <c r="P5" s="3">
        <f>(B5-0)*C5*N5/45+O5*$D5/17</f>
        <v>22.222222222222221</v>
      </c>
      <c r="Q5" s="4">
        <f>O5*D5</f>
        <v>0</v>
      </c>
      <c r="R5" s="3"/>
    </row>
    <row r="6" spans="1:18" x14ac:dyDescent="0.25">
      <c r="A6" t="s">
        <v>5</v>
      </c>
      <c r="B6">
        <v>20</v>
      </c>
      <c r="C6">
        <v>80</v>
      </c>
      <c r="D6">
        <f t="shared" ref="D6:D13" si="0">C6*B6</f>
        <v>1600</v>
      </c>
      <c r="E6" s="2">
        <v>0.9</v>
      </c>
      <c r="F6" s="3">
        <f t="shared" ref="F6:F13" si="1">1-E6</f>
        <v>9.9999999999999978E-2</v>
      </c>
      <c r="G6" s="3">
        <f t="shared" ref="G6:G13" si="2">F6*D6/17</f>
        <v>9.4117647058823515</v>
      </c>
      <c r="H6" s="4">
        <f t="shared" ref="H6:H13" si="3">D6*E6*$B$32</f>
        <v>381.45695364238412</v>
      </c>
      <c r="I6" s="2">
        <v>0.9</v>
      </c>
      <c r="J6" s="3">
        <f t="shared" ref="J6:J13" si="4">1-I6</f>
        <v>9.9999999999999978E-2</v>
      </c>
      <c r="K6" s="3">
        <f t="shared" ref="K6" si="5">J6*$D6/17</f>
        <v>9.4117647058823515</v>
      </c>
      <c r="L6" s="3">
        <f t="shared" ref="L6:L13" si="6">J6*D6</f>
        <v>159.99999999999997</v>
      </c>
      <c r="M6" s="3">
        <f t="shared" ref="M6" si="7">D6*I6*$B$33</f>
        <v>345.59999999999997</v>
      </c>
      <c r="N6" s="2">
        <v>0.9</v>
      </c>
      <c r="O6" s="3">
        <f t="shared" ref="O6:O13" si="8">1-N6</f>
        <v>9.9999999999999978E-2</v>
      </c>
      <c r="P6" s="3">
        <f t="shared" ref="P6:P13" si="9">(B6-0)*C6*N6/45+O6*$D6/17</f>
        <v>41.411764705882348</v>
      </c>
      <c r="Q6" s="4">
        <f t="shared" ref="Q6:Q13" si="10">O6*D6</f>
        <v>159.99999999999997</v>
      </c>
      <c r="R6" s="3"/>
    </row>
    <row r="7" spans="1:18" x14ac:dyDescent="0.25">
      <c r="A7" t="s">
        <v>4</v>
      </c>
      <c r="B7">
        <v>30</v>
      </c>
      <c r="C7">
        <v>250</v>
      </c>
      <c r="D7">
        <f t="shared" si="0"/>
        <v>7500</v>
      </c>
      <c r="E7" s="2">
        <v>0.9</v>
      </c>
      <c r="F7" s="3">
        <f t="shared" si="1"/>
        <v>9.9999999999999978E-2</v>
      </c>
      <c r="G7" s="3">
        <f t="shared" si="2"/>
        <v>44.117647058823522</v>
      </c>
      <c r="H7" s="4">
        <f t="shared" si="3"/>
        <v>1788.0794701986756</v>
      </c>
      <c r="I7" s="2">
        <v>0.9</v>
      </c>
      <c r="J7" s="3">
        <f t="shared" si="4"/>
        <v>9.9999999999999978E-2</v>
      </c>
      <c r="K7" s="3">
        <f>(B7-20)*C7*I7/50+J7*$D7/17</f>
        <v>89.117647058823522</v>
      </c>
      <c r="L7" s="3">
        <f t="shared" si="6"/>
        <v>749.99999999999989</v>
      </c>
      <c r="M7" s="3">
        <f>20*C7*$B$33</f>
        <v>1200</v>
      </c>
      <c r="N7" s="2">
        <v>0.9</v>
      </c>
      <c r="O7" s="3">
        <f t="shared" si="8"/>
        <v>9.9999999999999978E-2</v>
      </c>
      <c r="P7" s="3">
        <f t="shared" si="9"/>
        <v>194.11764705882354</v>
      </c>
      <c r="Q7" s="4">
        <f t="shared" si="10"/>
        <v>749.99999999999989</v>
      </c>
      <c r="R7" s="3"/>
    </row>
    <row r="8" spans="1:18" x14ac:dyDescent="0.25">
      <c r="A8" t="s">
        <v>26</v>
      </c>
      <c r="B8">
        <v>40</v>
      </c>
      <c r="C8">
        <v>60</v>
      </c>
      <c r="D8">
        <f t="shared" si="0"/>
        <v>2400</v>
      </c>
      <c r="E8" s="2">
        <v>0.9</v>
      </c>
      <c r="F8" s="3">
        <f t="shared" si="1"/>
        <v>9.9999999999999978E-2</v>
      </c>
      <c r="G8" s="3">
        <f t="shared" si="2"/>
        <v>14.117647058823525</v>
      </c>
      <c r="H8" s="4">
        <f t="shared" si="3"/>
        <v>572.18543046357615</v>
      </c>
      <c r="I8" s="2">
        <v>0.9</v>
      </c>
      <c r="J8" s="3">
        <f t="shared" si="4"/>
        <v>9.9999999999999978E-2</v>
      </c>
      <c r="K8" s="3">
        <f t="shared" ref="K8:K13" si="11">(B8-20)*C8*I8/50+J8*$D8/17</f>
        <v>35.71764705882353</v>
      </c>
      <c r="L8" s="3">
        <f t="shared" si="6"/>
        <v>239.99999999999994</v>
      </c>
      <c r="M8" s="3">
        <f t="shared" ref="M8:M13" si="12">20*C8*$B$33</f>
        <v>288</v>
      </c>
      <c r="N8" s="2">
        <v>0.9</v>
      </c>
      <c r="O8" s="3">
        <f t="shared" si="8"/>
        <v>9.9999999999999978E-2</v>
      </c>
      <c r="P8" s="3">
        <f t="shared" si="9"/>
        <v>62.117647058823522</v>
      </c>
      <c r="Q8" s="4">
        <f t="shared" si="10"/>
        <v>239.99999999999994</v>
      </c>
      <c r="R8" s="3"/>
    </row>
    <row r="9" spans="1:18" x14ac:dyDescent="0.25">
      <c r="A9" t="s">
        <v>27</v>
      </c>
      <c r="B9">
        <v>50</v>
      </c>
      <c r="C9">
        <v>10</v>
      </c>
      <c r="D9">
        <f t="shared" si="0"/>
        <v>500</v>
      </c>
      <c r="E9" s="2">
        <v>0.8</v>
      </c>
      <c r="F9" s="3">
        <f t="shared" si="1"/>
        <v>0.19999999999999996</v>
      </c>
      <c r="G9" s="3">
        <f t="shared" si="2"/>
        <v>5.8823529411764692</v>
      </c>
      <c r="H9" s="4">
        <f t="shared" si="3"/>
        <v>105.96026490066225</v>
      </c>
      <c r="I9" s="2">
        <v>0.8</v>
      </c>
      <c r="J9" s="3">
        <f t="shared" si="4"/>
        <v>0.19999999999999996</v>
      </c>
      <c r="K9" s="3">
        <f t="shared" si="11"/>
        <v>10.682352941176468</v>
      </c>
      <c r="L9" s="3">
        <f t="shared" si="6"/>
        <v>99.999999999999972</v>
      </c>
      <c r="M9" s="3">
        <f t="shared" si="12"/>
        <v>48</v>
      </c>
      <c r="N9" s="2">
        <v>0.8</v>
      </c>
      <c r="O9" s="3">
        <f t="shared" si="8"/>
        <v>0.19999999999999996</v>
      </c>
      <c r="P9" s="3">
        <f t="shared" si="9"/>
        <v>14.771241830065359</v>
      </c>
      <c r="Q9" s="4">
        <f t="shared" si="10"/>
        <v>99.999999999999972</v>
      </c>
      <c r="R9" s="3"/>
    </row>
    <row r="10" spans="1:18" x14ac:dyDescent="0.25">
      <c r="A10" t="s">
        <v>27</v>
      </c>
      <c r="B10">
        <v>80</v>
      </c>
      <c r="C10">
        <v>2</v>
      </c>
      <c r="D10">
        <f t="shared" si="0"/>
        <v>160</v>
      </c>
      <c r="E10" s="2">
        <v>0.8</v>
      </c>
      <c r="F10" s="3">
        <f t="shared" si="1"/>
        <v>0.19999999999999996</v>
      </c>
      <c r="G10" s="3">
        <f t="shared" si="2"/>
        <v>1.8823529411764701</v>
      </c>
      <c r="H10" s="4">
        <f t="shared" si="3"/>
        <v>33.907284768211923</v>
      </c>
      <c r="I10" s="2">
        <v>0.8</v>
      </c>
      <c r="J10" s="3">
        <f t="shared" si="4"/>
        <v>0.19999999999999996</v>
      </c>
      <c r="K10" s="3">
        <f t="shared" si="11"/>
        <v>3.80235294117647</v>
      </c>
      <c r="L10" s="3">
        <f t="shared" si="6"/>
        <v>31.999999999999993</v>
      </c>
      <c r="M10" s="3">
        <f t="shared" si="12"/>
        <v>9.6</v>
      </c>
      <c r="N10" s="2">
        <v>0.8</v>
      </c>
      <c r="O10" s="3">
        <f t="shared" si="8"/>
        <v>0.19999999999999996</v>
      </c>
      <c r="P10" s="3">
        <f t="shared" si="9"/>
        <v>4.7267973856209142</v>
      </c>
      <c r="Q10" s="4">
        <f t="shared" si="10"/>
        <v>31.999999999999993</v>
      </c>
      <c r="R10" s="3"/>
    </row>
    <row r="11" spans="1:18" x14ac:dyDescent="0.25">
      <c r="A11" t="s">
        <v>28</v>
      </c>
      <c r="B11">
        <v>120</v>
      </c>
      <c r="C11">
        <v>4</v>
      </c>
      <c r="D11">
        <f t="shared" si="0"/>
        <v>480</v>
      </c>
      <c r="E11" s="2">
        <v>0</v>
      </c>
      <c r="F11" s="3">
        <f t="shared" si="1"/>
        <v>1</v>
      </c>
      <c r="G11" s="3">
        <f t="shared" si="2"/>
        <v>28.235294117647058</v>
      </c>
      <c r="H11" s="4">
        <f t="shared" si="3"/>
        <v>0</v>
      </c>
      <c r="I11" s="2">
        <v>0.5</v>
      </c>
      <c r="J11" s="3">
        <f t="shared" si="4"/>
        <v>0.5</v>
      </c>
      <c r="K11" s="3">
        <f t="shared" si="11"/>
        <v>18.117647058823529</v>
      </c>
      <c r="L11" s="3">
        <f t="shared" si="6"/>
        <v>240</v>
      </c>
      <c r="M11" s="3">
        <f t="shared" si="12"/>
        <v>19.2</v>
      </c>
      <c r="N11" s="2">
        <v>0.5</v>
      </c>
      <c r="O11" s="3">
        <f t="shared" si="8"/>
        <v>0.5</v>
      </c>
      <c r="P11" s="3">
        <f t="shared" si="9"/>
        <v>19.450980392156861</v>
      </c>
      <c r="Q11" s="4">
        <f t="shared" si="10"/>
        <v>240</v>
      </c>
      <c r="R11" s="3"/>
    </row>
    <row r="12" spans="1:18" x14ac:dyDescent="0.25">
      <c r="A12" t="s">
        <v>29</v>
      </c>
      <c r="B12">
        <v>200</v>
      </c>
      <c r="C12">
        <v>6</v>
      </c>
      <c r="D12">
        <f t="shared" si="0"/>
        <v>1200</v>
      </c>
      <c r="E12" s="2">
        <v>0</v>
      </c>
      <c r="F12" s="3">
        <f t="shared" si="1"/>
        <v>1</v>
      </c>
      <c r="G12" s="3">
        <f t="shared" si="2"/>
        <v>70.588235294117652</v>
      </c>
      <c r="H12" s="4">
        <f t="shared" si="3"/>
        <v>0</v>
      </c>
      <c r="I12" s="2">
        <v>0.5</v>
      </c>
      <c r="J12" s="3">
        <f t="shared" si="4"/>
        <v>0.5</v>
      </c>
      <c r="K12" s="3">
        <f t="shared" si="11"/>
        <v>46.094117647058823</v>
      </c>
      <c r="L12" s="3">
        <f t="shared" si="6"/>
        <v>600</v>
      </c>
      <c r="M12" s="3">
        <f t="shared" si="12"/>
        <v>28.799999999999997</v>
      </c>
      <c r="N12" s="2">
        <v>0.5</v>
      </c>
      <c r="O12" s="3">
        <f t="shared" si="8"/>
        <v>0.5</v>
      </c>
      <c r="P12" s="3">
        <f t="shared" si="9"/>
        <v>48.627450980392162</v>
      </c>
      <c r="Q12" s="4">
        <f t="shared" si="10"/>
        <v>600</v>
      </c>
      <c r="R12" s="3"/>
    </row>
    <row r="13" spans="1:18" ht="15.75" thickBot="1" x14ac:dyDescent="0.3">
      <c r="A13" t="s">
        <v>30</v>
      </c>
      <c r="B13">
        <v>800</v>
      </c>
      <c r="C13">
        <v>4</v>
      </c>
      <c r="D13">
        <f t="shared" si="0"/>
        <v>3200</v>
      </c>
      <c r="E13" s="5">
        <v>0</v>
      </c>
      <c r="F13" s="6">
        <f t="shared" si="1"/>
        <v>1</v>
      </c>
      <c r="G13" s="6">
        <f t="shared" si="2"/>
        <v>188.23529411764707</v>
      </c>
      <c r="H13" s="7">
        <f t="shared" si="3"/>
        <v>0</v>
      </c>
      <c r="I13" s="5">
        <v>0.5</v>
      </c>
      <c r="J13" s="6">
        <f t="shared" si="4"/>
        <v>0.5</v>
      </c>
      <c r="K13" s="6">
        <f t="shared" si="11"/>
        <v>125.31764705882354</v>
      </c>
      <c r="L13" s="6">
        <f t="shared" si="6"/>
        <v>1600</v>
      </c>
      <c r="M13" s="6">
        <f t="shared" si="12"/>
        <v>19.2</v>
      </c>
      <c r="N13" s="5">
        <v>0.5</v>
      </c>
      <c r="O13" s="6">
        <f t="shared" si="8"/>
        <v>0.5</v>
      </c>
      <c r="P13" s="6">
        <f t="shared" si="9"/>
        <v>129.67320261437908</v>
      </c>
      <c r="Q13" s="7">
        <f t="shared" si="10"/>
        <v>1600</v>
      </c>
      <c r="R13" s="3"/>
    </row>
    <row r="17" spans="1:17" x14ac:dyDescent="0.25">
      <c r="G17" s="8" t="s">
        <v>7</v>
      </c>
      <c r="H17" s="8" t="s">
        <v>18</v>
      </c>
      <c r="K17" s="8" t="s">
        <v>7</v>
      </c>
      <c r="L17" s="8" t="s">
        <v>20</v>
      </c>
      <c r="M17" s="8" t="s">
        <v>18</v>
      </c>
      <c r="P17" s="8" t="s">
        <v>7</v>
      </c>
      <c r="Q17" s="8" t="s">
        <v>20</v>
      </c>
    </row>
    <row r="18" spans="1:17" x14ac:dyDescent="0.25">
      <c r="A18" t="s">
        <v>2</v>
      </c>
      <c r="C18">
        <f>SUM(C5:C17)</f>
        <v>516</v>
      </c>
      <c r="D18">
        <f>SUM(D5:D17)</f>
        <v>18040</v>
      </c>
      <c r="G18" s="16">
        <f>SUM(G5:G17)</f>
        <v>362.47058823529409</v>
      </c>
      <c r="H18">
        <f>SUM(H5:H13)</f>
        <v>3146.4900662251662</v>
      </c>
      <c r="K18" s="16">
        <f>SUM(K5:K17)</f>
        <v>338.26117647058828</v>
      </c>
      <c r="L18">
        <f>SUM(L5:L17)</f>
        <v>3722</v>
      </c>
      <c r="M18">
        <f>SUM(M5:M13)</f>
        <v>2198.3999999999996</v>
      </c>
      <c r="P18" s="16">
        <f>SUM(P5:P17)</f>
        <v>537.11895424836598</v>
      </c>
      <c r="Q18">
        <f>SUM(Q5:Q17)</f>
        <v>3722</v>
      </c>
    </row>
    <row r="19" spans="1:17" x14ac:dyDescent="0.25">
      <c r="C19" s="1" t="s">
        <v>3</v>
      </c>
      <c r="D19" s="1">
        <v>17500</v>
      </c>
      <c r="F19" s="8" t="s">
        <v>35</v>
      </c>
      <c r="G19" s="8">
        <f>G18*$B$29+H18*$B$30</f>
        <v>1252.2903778730035</v>
      </c>
      <c r="H19" s="8"/>
      <c r="I19" s="8"/>
      <c r="J19" s="8" t="s">
        <v>35</v>
      </c>
      <c r="K19" s="8">
        <f>K18*$B$29+M18*$B$30</f>
        <v>1087.4769411764705</v>
      </c>
      <c r="L19" s="8"/>
      <c r="M19" s="8"/>
      <c r="N19" s="8"/>
      <c r="O19" s="8" t="s">
        <v>35</v>
      </c>
      <c r="P19" s="8">
        <f>P18*$B$29</f>
        <v>1342.7973856209151</v>
      </c>
    </row>
    <row r="20" spans="1:17" ht="30" x14ac:dyDescent="0.25">
      <c r="C20" s="9" t="s">
        <v>10</v>
      </c>
      <c r="D20">
        <f>D18/17</f>
        <v>1061.1764705882354</v>
      </c>
    </row>
    <row r="21" spans="1:17" x14ac:dyDescent="0.25">
      <c r="F21" t="s">
        <v>25</v>
      </c>
      <c r="G21">
        <f>1-(G18/D20)</f>
        <v>0.65842572062084259</v>
      </c>
      <c r="J21" t="s">
        <v>25</v>
      </c>
      <c r="K21">
        <f>1-(K18/D20)</f>
        <v>0.68123946784922396</v>
      </c>
      <c r="O21" t="s">
        <v>25</v>
      </c>
      <c r="P21">
        <f>1-(P18/D20)</f>
        <v>0.49384577482138459</v>
      </c>
    </row>
    <row r="23" spans="1:17" x14ac:dyDescent="0.25">
      <c r="O23" t="s">
        <v>7</v>
      </c>
      <c r="P23">
        <f>P18-K18</f>
        <v>198.8577777777777</v>
      </c>
      <c r="Q23" t="s">
        <v>13</v>
      </c>
    </row>
    <row r="28" spans="1:17" x14ac:dyDescent="0.25">
      <c r="C28">
        <f>12500/17500</f>
        <v>0.7142857142857143</v>
      </c>
      <c r="D28" t="s">
        <v>11</v>
      </c>
    </row>
    <row r="29" spans="1:17" x14ac:dyDescent="0.25">
      <c r="A29" s="8" t="s">
        <v>23</v>
      </c>
      <c r="B29">
        <v>2.5</v>
      </c>
    </row>
    <row r="30" spans="1:17" x14ac:dyDescent="0.25">
      <c r="A30" s="8" t="s">
        <v>37</v>
      </c>
      <c r="B30">
        <v>0.11</v>
      </c>
    </row>
    <row r="31" spans="1:17" x14ac:dyDescent="0.25">
      <c r="C31" t="s">
        <v>22</v>
      </c>
      <c r="D31" t="s">
        <v>36</v>
      </c>
    </row>
    <row r="32" spans="1:17" x14ac:dyDescent="0.25">
      <c r="A32" s="8" t="s">
        <v>15</v>
      </c>
      <c r="B32">
        <f>40/151</f>
        <v>0.26490066225165565</v>
      </c>
      <c r="C32">
        <f>B32*$B$30</f>
        <v>2.9139072847682121E-2</v>
      </c>
    </row>
    <row r="33" spans="1:3" x14ac:dyDescent="0.25">
      <c r="A33" s="8" t="s">
        <v>16</v>
      </c>
      <c r="B33">
        <f>6/25</f>
        <v>0.24</v>
      </c>
      <c r="C33">
        <f t="shared" ref="C33" si="13">B33*$B$30</f>
        <v>2.64E-2</v>
      </c>
    </row>
    <row r="34" spans="1:3" x14ac:dyDescent="0.25">
      <c r="A34" s="8" t="s">
        <v>21</v>
      </c>
      <c r="B34">
        <f>1/45</f>
        <v>2.2222222222222223E-2</v>
      </c>
      <c r="C34">
        <f>B34*$B$29</f>
        <v>5.5555555555555559E-2</v>
      </c>
    </row>
    <row r="35" spans="1:3" x14ac:dyDescent="0.25">
      <c r="A35" s="8" t="s">
        <v>24</v>
      </c>
      <c r="B35">
        <f>1/17</f>
        <v>5.8823529411764705E-2</v>
      </c>
      <c r="C35">
        <f>B35*$B$29</f>
        <v>0.14705882352941177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2020-03-05T19:02:19Z</dcterms:created>
  <dcterms:modified xsi:type="dcterms:W3CDTF">2020-03-05T19:02:44Z</dcterms:modified>
</cp:coreProperties>
</file>